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drawings/drawing6.xml" ContentType="application/vnd.openxmlformats-officedocument.drawing+xml"/>
  <Override PartName="/xl/comments8.xml" ContentType="application/vnd.openxmlformats-officedocument.spreadsheetml.comment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1600" windowHeight="11880" tabRatio="888" activeTab="1"/>
  </bookViews>
  <sheets>
    <sheet name="기준년도설정" sheetId="48" r:id="rId1"/>
    <sheet name="exptE-FD-H_pc_od_zone_O_YYMMDD" sheetId="91" r:id="rId2"/>
    <sheet name="exptE-FD-H_pc_od_zone_D_YYMMDD" sheetId="92" r:id="rId3"/>
    <sheet name="exptE-FD-H_bus_od_zone_O_YYMMDD" sheetId="93" r:id="rId4"/>
    <sheet name="exptE-FD-H_bus_od_zone_D_YYMMDD" sheetId="94" r:id="rId5"/>
    <sheet name="exptE-FD-F_fod_zone_O_YYMMDD" sheetId="95" r:id="rId6"/>
    <sheet name="exptE-FD-F_fod_zone_D_YYMMDD" sheetId="96" r:id="rId7"/>
    <sheet name="exptD-FD-H_pc_od_zone_O_YYMMDD" sheetId="85" r:id="rId8"/>
    <sheet name="exptD-FD-H_pc_od_zone_D_YYMMDD" sheetId="86" r:id="rId9"/>
    <sheet name="exptD-FD-H_bus_od_zone_O_YYMMDD" sheetId="87" r:id="rId10"/>
    <sheet name="exptD-FD-H_bus_od_zone_D_YYMMDD" sheetId="88" r:id="rId11"/>
    <sheet name="exptD-FD-F_fod_zone_O_YYMMDD" sheetId="89" r:id="rId12"/>
    <sheet name="exptD-FD-F_fod_zone_D_YYMMDD" sheetId="90" r:id="rId13"/>
    <sheet name="exptC-FD-H_pc_od_zone_O_YYMMDD" sheetId="79" r:id="rId14"/>
    <sheet name="exptC-FD-H_pc_od_zone_D_YYMMDD" sheetId="80" r:id="rId15"/>
    <sheet name="exptC-FD-H_bus_od_zone_O_YYMMDD" sheetId="81" r:id="rId16"/>
    <sheet name="exptC-FD-H_bus_od_zone_D_YYMMDD" sheetId="82" r:id="rId17"/>
    <sheet name="exptC-FD-F_fod_zone_O_YYMMDD" sheetId="83" r:id="rId18"/>
    <sheet name="exptC-FD-F_fod_zone_D_YYMMDD" sheetId="84" r:id="rId19"/>
    <sheet name="exptB-FD-H_pc_od_zone_O_YYMMDD" sheetId="73" r:id="rId20"/>
    <sheet name="exptB-FD-H_pc_od_zone_D_YYMMDD" sheetId="74" r:id="rId21"/>
    <sheet name="exptB-FD-H_bus_od_zone_O_YYMMDD" sheetId="75" r:id="rId22"/>
    <sheet name="exptB-FD-H_bus_od_zone_D_YYMMDD" sheetId="76" r:id="rId23"/>
    <sheet name="exptB-FD-F_fod_zone_O_YYMMDD" sheetId="77" r:id="rId24"/>
    <sheet name="exptB-FD-F_fod_zone_D_YYMMDD" sheetId="78" r:id="rId25"/>
    <sheet name="exptA-FD-H_pc_od_zone_O_YYMMDD" sheetId="67" r:id="rId26"/>
    <sheet name="exptA-FD-H_pc_od_zone_D_YYMMDD" sheetId="68" r:id="rId27"/>
    <sheet name="exptA-FD-H_bus_od_zone_O_YYMMDD" sheetId="69" r:id="rId28"/>
    <sheet name="exptA-FD-H_bus_od_zone_D_YYMMDD" sheetId="70" r:id="rId29"/>
    <sheet name="exptA-FD-F_fod_zone_O_YYMMDD" sheetId="71" r:id="rId30"/>
    <sheet name="exptA-FD-F_fod_zone_D_YYMMDD" sheetId="72" r:id="rId31"/>
    <sheet name="NON-FD-H_pc_od_zone_O_YYMMDD" sheetId="41" r:id="rId32"/>
    <sheet name="NON-FD-H_pc_od_zone_D_YYMMDD" sheetId="42" r:id="rId33"/>
    <sheet name="NON-FD-H_bus_od_zone_O_YYMMDD" sheetId="43" r:id="rId34"/>
    <sheet name="NON-FD-H_bus_od_zone_D_YYMMDD" sheetId="44" r:id="rId35"/>
    <sheet name="NON-FD-F_fod_zone_O_YYMMDD " sheetId="45" r:id="rId36"/>
    <sheet name="NON-FD-F_fod_zone_D_YYMMDD" sheetId="46" r:id="rId37"/>
    <sheet name="onlyA-FD-H_pc_od_zone_O_YYMMDD" sheetId="23" r:id="rId38"/>
    <sheet name="onlyA-FD-H_pc_od_zone_D_YYMMDD" sheetId="24" r:id="rId39"/>
    <sheet name="onlyA-FD-H_bus_od_zone_O_YYMMDD" sheetId="25" r:id="rId40"/>
    <sheet name="onlyA-FD-H_bus_od_zone_D_YYMMDD" sheetId="26" r:id="rId41"/>
    <sheet name="onlyA-FD-F_fod_zone_O_YYMMDD" sheetId="27" r:id="rId42"/>
    <sheet name="onlyA-FD-F_fod_zone_D_YYMMDD" sheetId="28" r:id="rId43"/>
    <sheet name="onlyB-FD-H_pc_od_zone_O_YYMMDD" sheetId="29" r:id="rId44"/>
    <sheet name="onlyB-FD-H_pc_od_zone_D_YYMMDD" sheetId="30" r:id="rId45"/>
    <sheet name="onlyB-FD-H_bus_od_zone_O_YYMMDD" sheetId="31" r:id="rId46"/>
    <sheet name="onlyB-FD-H_bus_od_zone_D_YYMMDD" sheetId="32" r:id="rId47"/>
    <sheet name="onlyB-FD-F_fod_zone_O_YYMMDD" sheetId="33" r:id="rId48"/>
    <sheet name="onlyB-FD-F_fod_zone_D_YYMMDD" sheetId="34" r:id="rId49"/>
    <sheet name="onlyC-FD-H_pc_od_zone_O_YYMMDD" sheetId="35" r:id="rId50"/>
    <sheet name="onlyC-FD-H_pc_od_zone_D_YYMMDD" sheetId="36" r:id="rId51"/>
    <sheet name="onlyC-FD-H_bus_od_zone_O_YYMMDD" sheetId="37" r:id="rId52"/>
    <sheet name="onlyC-FD-H_bus_od_zone_D_YYMMDD" sheetId="38" r:id="rId53"/>
    <sheet name="onlyC-FD-F_fod_zone_O_YYMMDD" sheetId="39" r:id="rId54"/>
    <sheet name="onlyC-FD-F_fod_zone_D_YYMMDD" sheetId="40" r:id="rId55"/>
    <sheet name="onlyD-FD-H_pc_od_zone_O_YYMMDD" sheetId="49" r:id="rId56"/>
    <sheet name="onlyD-FD-H_pc_od_zone_D_YYMMDD" sheetId="50" r:id="rId57"/>
    <sheet name="onlyD-FD-H_bus_od_zone_O_YYMMDD" sheetId="51" r:id="rId58"/>
    <sheet name="onlyD-FD-H_bus_od_zone_D_YYMMDD" sheetId="52" r:id="rId59"/>
    <sheet name="onlyD-FD-F_fod_zone_O_YYMMDD" sheetId="53" r:id="rId60"/>
    <sheet name="onlyD-FD-F_fod_zone_D_YYMMDD" sheetId="54" r:id="rId61"/>
    <sheet name="onlyE-FD-H_pc_od_zone_O_YYMMDD" sheetId="55" r:id="rId62"/>
    <sheet name="onlyE-FD-H_pc_od_zone_D_YYMMDD" sheetId="56" r:id="rId63"/>
    <sheet name="onlyE-FD-H_bus_od_zone_O_YYMMDD" sheetId="57" r:id="rId64"/>
    <sheet name="onlyE-FD-H_bus_od_zone_D_YYMMDD" sheetId="58" r:id="rId65"/>
    <sheet name="onlyE-FD-F_fod_zone_O_YYMMDD " sheetId="59" r:id="rId66"/>
    <sheet name="onlyE-FD-F_fod_zone_D_YYMMDD" sheetId="60" r:id="rId67"/>
    <sheet name="ALL-FD-H_pc_od_zone_O_YYMMDD" sheetId="16" r:id="rId68"/>
    <sheet name="ALL-FD-H_pc_od_zone_D_YYMMDD" sheetId="17" r:id="rId69"/>
    <sheet name="ALL-FD-H_bus_od_zone_O_YYMMDD" sheetId="18" r:id="rId70"/>
    <sheet name="ALL-FD-H_bus_od_zone_D_YYMMDD" sheetId="19" r:id="rId71"/>
    <sheet name="ALL-FD-F_fod_zone_O_YYMMDD" sheetId="20" r:id="rId72"/>
    <sheet name="ALL-FD-F_fod_zone_D_YYMMDD" sheetId="21" r:id="rId73"/>
    <sheet name="E.관광문화단지(849301)_수정" sheetId="15" r:id="rId74"/>
    <sheet name="D.cj라이브시티(849201)_수정" sheetId="14" r:id="rId75"/>
    <sheet name="C.장항공공주택지구(849992)" sheetId="13" r:id="rId76"/>
    <sheet name="B.고양영상밸리(849991)_수정" sheetId="12" r:id="rId77"/>
    <sheet name="A.일산테크노밸리(859991)_수정" sheetId="8" r:id="rId78"/>
    <sheet name="고양시_Modal_split" sheetId="9" r:id="rId79"/>
    <sheet name="고양시_재차인원" sheetId="10" r:id="rId80"/>
    <sheet name="KTDB_발생량도착량_증가율" sheetId="22" r:id="rId81"/>
    <sheet name="KTDB_TripDistribution_2025" sheetId="7" r:id="rId82"/>
    <sheet name="장항공공주택지구_통행량제외분" sheetId="47" r:id="rId83"/>
    <sheet name="S1" sheetId="3" r:id="rId84"/>
    <sheet name="일산테크노밸리" sheetId="1" r:id="rId85"/>
    <sheet name="고양영상밸리" sheetId="2" r:id="rId86"/>
    <sheet name="징힝공공주택지구" sheetId="4" r:id="rId87"/>
    <sheet name="cj라이브시티" sheetId="5" r:id="rId88"/>
    <sheet name="관광문화단지" sheetId="6" r:id="rId89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" i="91" l="1"/>
  <c r="C2" i="92"/>
  <c r="C2" i="93"/>
  <c r="C2" i="94"/>
  <c r="B2" i="96"/>
  <c r="A2" i="96"/>
  <c r="B2" i="95"/>
  <c r="A2" i="95"/>
  <c r="B2" i="94"/>
  <c r="A2" i="94"/>
  <c r="B2" i="93"/>
  <c r="A2" i="93"/>
  <c r="B2" i="92"/>
  <c r="A2" i="92"/>
  <c r="B2" i="91"/>
  <c r="A2" i="91"/>
  <c r="C2" i="85"/>
  <c r="C2" i="86"/>
  <c r="C2" i="87"/>
  <c r="C2" i="88"/>
  <c r="B2" i="90"/>
  <c r="A2" i="90"/>
  <c r="B2" i="89"/>
  <c r="A2" i="89"/>
  <c r="B2" i="88"/>
  <c r="A2" i="88"/>
  <c r="B2" i="87"/>
  <c r="A2" i="87"/>
  <c r="B2" i="86"/>
  <c r="A2" i="86"/>
  <c r="B2" i="85"/>
  <c r="A2" i="85"/>
  <c r="C2" i="79"/>
  <c r="C2" i="80"/>
  <c r="C2" i="81"/>
  <c r="C2" i="82"/>
  <c r="B2" i="84"/>
  <c r="A2" i="84"/>
  <c r="B2" i="83"/>
  <c r="A2" i="83"/>
  <c r="B2" i="82"/>
  <c r="A2" i="82"/>
  <c r="B2" i="81"/>
  <c r="A2" i="81"/>
  <c r="B2" i="80"/>
  <c r="A2" i="80"/>
  <c r="B2" i="79"/>
  <c r="A2" i="79"/>
  <c r="C2" i="73"/>
  <c r="C2" i="74"/>
  <c r="C2" i="75"/>
  <c r="C2" i="76"/>
  <c r="B2" i="78"/>
  <c r="A2" i="78"/>
  <c r="B2" i="77"/>
  <c r="A2" i="77"/>
  <c r="B2" i="76"/>
  <c r="A2" i="76"/>
  <c r="B2" i="75"/>
  <c r="A2" i="75"/>
  <c r="B2" i="74"/>
  <c r="A2" i="74"/>
  <c r="B2" i="73"/>
  <c r="A2" i="73"/>
  <c r="A2" i="72"/>
  <c r="A2" i="71"/>
  <c r="C2" i="70"/>
  <c r="A2" i="70"/>
  <c r="C2" i="69"/>
  <c r="A2" i="69"/>
  <c r="C2" i="68"/>
  <c r="A2" i="68"/>
  <c r="C2" i="67"/>
  <c r="A2" i="67"/>
  <c r="C37" i="14" l="1"/>
  <c r="EZ179" i="13" l="1"/>
  <c r="EY179" i="13"/>
  <c r="EZ178" i="13"/>
  <c r="EY178" i="13"/>
  <c r="EZ177" i="13"/>
  <c r="EY177" i="13"/>
  <c r="EZ176" i="13"/>
  <c r="EY176" i="13"/>
  <c r="EZ175" i="13"/>
  <c r="EY175" i="13"/>
  <c r="EZ174" i="13"/>
  <c r="EY174" i="13"/>
  <c r="EZ173" i="13"/>
  <c r="EY173" i="13"/>
  <c r="EZ172" i="13"/>
  <c r="EY172" i="13"/>
  <c r="EZ171" i="13"/>
  <c r="EY171" i="13"/>
  <c r="EZ170" i="13"/>
  <c r="EY170" i="13"/>
  <c r="EZ169" i="13"/>
  <c r="EY169" i="13"/>
  <c r="EZ168" i="13"/>
  <c r="EY168" i="13"/>
  <c r="EZ167" i="13"/>
  <c r="EY167" i="13"/>
  <c r="EZ166" i="13"/>
  <c r="EY166" i="13"/>
  <c r="EZ165" i="13"/>
  <c r="EY165" i="13"/>
  <c r="EZ164" i="13"/>
  <c r="EY164" i="13"/>
  <c r="EZ163" i="13"/>
  <c r="EY163" i="13"/>
  <c r="EZ162" i="13"/>
  <c r="EY162" i="13"/>
  <c r="EZ161" i="13"/>
  <c r="EY161" i="13"/>
  <c r="EZ160" i="13"/>
  <c r="EY160" i="13"/>
  <c r="EZ159" i="13"/>
  <c r="EY159" i="13"/>
  <c r="EZ158" i="13"/>
  <c r="EY158" i="13"/>
  <c r="EZ157" i="13"/>
  <c r="EY157" i="13"/>
  <c r="EZ156" i="13"/>
  <c r="EY156" i="13"/>
  <c r="EZ155" i="13"/>
  <c r="EY155" i="13"/>
  <c r="EZ154" i="13"/>
  <c r="EY154" i="13"/>
  <c r="EZ153" i="13"/>
  <c r="EY153" i="13"/>
  <c r="EZ152" i="13"/>
  <c r="EY152" i="13"/>
  <c r="EZ151" i="13"/>
  <c r="EY151" i="13"/>
  <c r="EZ150" i="13"/>
  <c r="EY150" i="13"/>
  <c r="EZ149" i="13"/>
  <c r="EY149" i="13"/>
  <c r="EZ148" i="13"/>
  <c r="EY148" i="13"/>
  <c r="EZ147" i="13"/>
  <c r="EY147" i="13"/>
  <c r="EZ146" i="13"/>
  <c r="EY146" i="13"/>
  <c r="EZ136" i="13"/>
  <c r="EY136" i="13"/>
  <c r="EZ135" i="13"/>
  <c r="EY135" i="13"/>
  <c r="EZ134" i="13"/>
  <c r="EY134" i="13"/>
  <c r="EZ133" i="13"/>
  <c r="EY133" i="13"/>
  <c r="EZ132" i="13"/>
  <c r="EY132" i="13"/>
  <c r="EZ131" i="13"/>
  <c r="EY131" i="13"/>
  <c r="EZ130" i="13"/>
  <c r="EY130" i="13"/>
  <c r="EZ129" i="13"/>
  <c r="EY129" i="13"/>
  <c r="EZ128" i="13"/>
  <c r="EY128" i="13"/>
  <c r="EZ127" i="13"/>
  <c r="EY127" i="13"/>
  <c r="EZ126" i="13"/>
  <c r="EY126" i="13"/>
  <c r="EZ125" i="13"/>
  <c r="EY125" i="13"/>
  <c r="EZ124" i="13"/>
  <c r="EY124" i="13"/>
  <c r="EZ123" i="13"/>
  <c r="EY123" i="13"/>
  <c r="EZ122" i="13"/>
  <c r="EY122" i="13"/>
  <c r="EZ121" i="13"/>
  <c r="EY121" i="13"/>
  <c r="EZ120" i="13"/>
  <c r="EY120" i="13"/>
  <c r="EZ119" i="13"/>
  <c r="EY119" i="13"/>
  <c r="EZ118" i="13"/>
  <c r="EY118" i="13"/>
  <c r="EZ117" i="13"/>
  <c r="EY117" i="13"/>
  <c r="EZ116" i="13"/>
  <c r="EY116" i="13"/>
  <c r="EZ115" i="13"/>
  <c r="EY115" i="13"/>
  <c r="EZ114" i="13"/>
  <c r="EY114" i="13"/>
  <c r="EZ113" i="13"/>
  <c r="EY113" i="13"/>
  <c r="EZ112" i="13"/>
  <c r="EY112" i="13"/>
  <c r="EZ111" i="13"/>
  <c r="EY111" i="13"/>
  <c r="EZ110" i="13"/>
  <c r="EY110" i="13"/>
  <c r="EZ109" i="13"/>
  <c r="EY109" i="13"/>
  <c r="EZ108" i="13"/>
  <c r="EY108" i="13"/>
  <c r="EZ107" i="13"/>
  <c r="EY107" i="13"/>
  <c r="EZ106" i="13"/>
  <c r="EY106" i="13"/>
  <c r="EZ105" i="13"/>
  <c r="EY105" i="13"/>
  <c r="EZ104" i="13"/>
  <c r="EY104" i="13"/>
  <c r="EZ103" i="13"/>
  <c r="EY103" i="13"/>
  <c r="N34" i="8" l="1"/>
  <c r="C47" i="8"/>
  <c r="N28" i="8"/>
  <c r="N29" i="8"/>
  <c r="N30" i="8"/>
  <c r="N31" i="8"/>
  <c r="N32" i="8"/>
  <c r="N33" i="8"/>
  <c r="N35" i="8"/>
  <c r="N36" i="8"/>
  <c r="N37" i="8"/>
  <c r="N38" i="8"/>
  <c r="N39" i="8"/>
  <c r="N40" i="8"/>
  <c r="A2" i="60" l="1"/>
  <c r="A2" i="59"/>
  <c r="A2" i="58"/>
  <c r="A2" i="57"/>
  <c r="A2" i="56"/>
  <c r="A2" i="55"/>
  <c r="A2" i="54"/>
  <c r="A2" i="53"/>
  <c r="A2" i="52"/>
  <c r="A2" i="51"/>
  <c r="A2" i="50"/>
  <c r="A2" i="49"/>
  <c r="EV181" i="13"/>
  <c r="EV138" i="13"/>
  <c r="A2" i="21"/>
  <c r="A2" i="20"/>
  <c r="A2" i="19"/>
  <c r="A2" i="18"/>
  <c r="A2" i="17"/>
  <c r="A2" i="16"/>
  <c r="A2" i="40"/>
  <c r="A2" i="39"/>
  <c r="A2" i="38"/>
  <c r="A2" i="37"/>
  <c r="A2" i="36"/>
  <c r="A2" i="35"/>
  <c r="A2" i="34"/>
  <c r="A2" i="33"/>
  <c r="A2" i="32"/>
  <c r="A2" i="31"/>
  <c r="A2" i="30"/>
  <c r="A2" i="29"/>
  <c r="A2" i="28"/>
  <c r="A2" i="27"/>
  <c r="A2" i="26"/>
  <c r="A2" i="25"/>
  <c r="A2" i="24"/>
  <c r="A2" i="23"/>
  <c r="A2" i="46"/>
  <c r="A2" i="45"/>
  <c r="A2" i="44"/>
  <c r="A2" i="43"/>
  <c r="A2" i="42"/>
  <c r="A2" i="41"/>
  <c r="G8" i="47"/>
  <c r="G6" i="47" s="1"/>
  <c r="G12" i="47" s="1"/>
  <c r="F8" i="47"/>
  <c r="F6" i="47" s="1"/>
  <c r="F12" i="47" s="1"/>
  <c r="E8" i="47"/>
  <c r="E6" i="47" s="1"/>
  <c r="E12" i="47" s="1"/>
  <c r="D8" i="47"/>
  <c r="D6" i="47" s="1"/>
  <c r="D12" i="47" s="1"/>
  <c r="C8" i="47"/>
  <c r="C6" i="47" s="1"/>
  <c r="C12" i="47" s="1"/>
  <c r="B8" i="47"/>
  <c r="B6" i="47" s="1"/>
  <c r="B12" i="47" s="1"/>
  <c r="E18" i="47" l="1"/>
  <c r="E16" i="47"/>
  <c r="E14" i="47"/>
  <c r="E17" i="47"/>
  <c r="E15" i="47"/>
  <c r="E13" i="47"/>
  <c r="N13" i="47" s="1"/>
  <c r="N14" i="47" s="1"/>
  <c r="N15" i="47" s="1"/>
  <c r="N16" i="47" s="1"/>
  <c r="N17" i="47" s="1"/>
  <c r="F17" i="47"/>
  <c r="F15" i="47"/>
  <c r="F13" i="47"/>
  <c r="O13" i="47" s="1"/>
  <c r="F18" i="47"/>
  <c r="F16" i="47"/>
  <c r="F14" i="47"/>
  <c r="G18" i="47"/>
  <c r="G16" i="47"/>
  <c r="G14" i="47"/>
  <c r="G15" i="47"/>
  <c r="G13" i="47"/>
  <c r="G17" i="47"/>
  <c r="P13" i="47"/>
  <c r="C17" i="47"/>
  <c r="C15" i="47"/>
  <c r="C13" i="47"/>
  <c r="L13" i="47"/>
  <c r="C18" i="47"/>
  <c r="C16" i="47"/>
  <c r="C14" i="47"/>
  <c r="B17" i="47"/>
  <c r="B15" i="47"/>
  <c r="B13" i="47"/>
  <c r="K13" i="47" s="1"/>
  <c r="B18" i="47"/>
  <c r="B16" i="47"/>
  <c r="B14" i="47"/>
  <c r="D16" i="47"/>
  <c r="D17" i="47"/>
  <c r="D15" i="47"/>
  <c r="D18" i="47"/>
  <c r="D14" i="47"/>
  <c r="D13" i="47"/>
  <c r="M13" i="47" s="1"/>
  <c r="M14" i="47" s="1"/>
  <c r="M15" i="47" s="1"/>
  <c r="M16" i="47" s="1"/>
  <c r="M17" i="47" s="1"/>
  <c r="M18" i="47" s="1"/>
  <c r="K14" i="47" l="1"/>
  <c r="K15" i="47" s="1"/>
  <c r="K16" i="47" s="1"/>
  <c r="K17" i="47" s="1"/>
  <c r="K18" i="47" s="1"/>
  <c r="L14" i="47"/>
  <c r="L15" i="47" s="1"/>
  <c r="L16" i="47" s="1"/>
  <c r="L17" i="47" s="1"/>
  <c r="L18" i="47"/>
  <c r="O14" i="47"/>
  <c r="O15" i="47" s="1"/>
  <c r="O16" i="47" s="1"/>
  <c r="O17" i="47" s="1"/>
  <c r="O18" i="47" s="1"/>
  <c r="N18" i="47"/>
  <c r="P14" i="47"/>
  <c r="P15" i="47" s="1"/>
  <c r="P16" i="47" s="1"/>
  <c r="P17" i="47" s="1"/>
  <c r="P18" i="47" s="1"/>
  <c r="EG140" i="8" l="1"/>
  <c r="X182" i="8" l="1"/>
  <c r="X197" i="8"/>
  <c r="X196" i="8"/>
  <c r="X195" i="8"/>
  <c r="X194" i="8"/>
  <c r="X193" i="8"/>
  <c r="X192" i="8"/>
  <c r="X187" i="8"/>
  <c r="X186" i="8"/>
  <c r="X185" i="8"/>
  <c r="X184" i="8"/>
  <c r="X183" i="8"/>
  <c r="H60" i="15"/>
  <c r="H67" i="15" s="1"/>
  <c r="I67" i="15" s="1"/>
  <c r="G60" i="15"/>
  <c r="F60" i="15"/>
  <c r="E60" i="15"/>
  <c r="D60" i="15"/>
  <c r="C60" i="15"/>
  <c r="H17" i="15"/>
  <c r="G17" i="15"/>
  <c r="F17" i="15"/>
  <c r="E17" i="15"/>
  <c r="D17" i="15"/>
  <c r="C17" i="15"/>
  <c r="Q40" i="8"/>
  <c r="Q39" i="8"/>
  <c r="Q38" i="8"/>
  <c r="Q37" i="8"/>
  <c r="Q36" i="8"/>
  <c r="Q35" i="8"/>
  <c r="Q34" i="8"/>
  <c r="Q33" i="8"/>
  <c r="Q32" i="8"/>
  <c r="Q31" i="8"/>
  <c r="Q30" i="8"/>
  <c r="Q29" i="8"/>
  <c r="Q28" i="8"/>
  <c r="X198" i="8" l="1"/>
  <c r="X188" i="8"/>
  <c r="AG197" i="8" l="1"/>
  <c r="EJ127" i="8" s="1"/>
  <c r="AG196" i="8"/>
  <c r="EJ126" i="8" s="1"/>
  <c r="AG195" i="8"/>
  <c r="EJ125" i="8" s="1"/>
  <c r="AG194" i="8"/>
  <c r="EJ124" i="8" s="1"/>
  <c r="AG193" i="8"/>
  <c r="EJ123" i="8" s="1"/>
  <c r="AG192" i="8"/>
  <c r="AG184" i="8"/>
  <c r="AG183" i="8"/>
  <c r="AG187" i="8"/>
  <c r="AG186" i="8"/>
  <c r="AG185" i="8"/>
  <c r="AG182" i="8"/>
  <c r="U188" i="8"/>
  <c r="V188" i="8"/>
  <c r="AV167" i="8"/>
  <c r="AT167" i="8" s="1"/>
  <c r="AO8" i="13"/>
  <c r="AS8" i="8"/>
  <c r="ET126" i="8" l="1"/>
  <c r="ET77" i="8"/>
  <c r="EJ77" i="8"/>
  <c r="AM167" i="8"/>
  <c r="AQ167" i="8"/>
  <c r="ET125" i="8"/>
  <c r="ET76" i="8"/>
  <c r="EJ76" i="8"/>
  <c r="ET122" i="8"/>
  <c r="ET73" i="8"/>
  <c r="EJ73" i="8"/>
  <c r="ET127" i="8"/>
  <c r="ET78" i="8"/>
  <c r="EJ78" i="8"/>
  <c r="ET123" i="8"/>
  <c r="ET74" i="8"/>
  <c r="EJ74" i="8"/>
  <c r="ET124" i="8"/>
  <c r="ET75" i="8"/>
  <c r="EJ75" i="8"/>
  <c r="AG198" i="8"/>
  <c r="EJ122" i="8"/>
  <c r="EJ140" i="8" s="1"/>
  <c r="AN167" i="8"/>
  <c r="AO167" i="8"/>
  <c r="AP167" i="8"/>
  <c r="AL167" i="8"/>
  <c r="AG188" i="8"/>
  <c r="AR167" i="8"/>
  <c r="AS167" i="8"/>
  <c r="B2" i="28" l="1"/>
  <c r="B2" i="21"/>
  <c r="ET91" i="8"/>
  <c r="EJ91" i="8"/>
  <c r="ET140" i="8"/>
  <c r="H29" i="15"/>
  <c r="I29" i="15" s="1"/>
  <c r="B2" i="27" l="1"/>
  <c r="B2" i="20"/>
  <c r="F17" i="14" l="1"/>
  <c r="E17" i="14"/>
  <c r="D17" i="14"/>
  <c r="F16" i="14"/>
  <c r="E16" i="14"/>
  <c r="D16" i="14"/>
  <c r="F15" i="14"/>
  <c r="E15" i="14"/>
  <c r="D15" i="14"/>
  <c r="F14" i="14"/>
  <c r="E14" i="14"/>
  <c r="D14" i="14"/>
  <c r="F10" i="14"/>
  <c r="E10" i="14"/>
  <c r="D10" i="14"/>
  <c r="F9" i="14"/>
  <c r="E9" i="14"/>
  <c r="D9" i="14"/>
  <c r="F8" i="14"/>
  <c r="E8" i="14"/>
  <c r="D8" i="14"/>
  <c r="FH85" i="14"/>
  <c r="FH84" i="14"/>
  <c r="FH83" i="14"/>
  <c r="FH82" i="14"/>
  <c r="FH81" i="14"/>
  <c r="FH80" i="14"/>
  <c r="D37" i="14" l="1"/>
  <c r="H80" i="14"/>
  <c r="G80" i="14"/>
  <c r="F80" i="14"/>
  <c r="F37" i="14"/>
  <c r="E80" i="14"/>
  <c r="D80" i="14"/>
  <c r="C80" i="14"/>
  <c r="H37" i="14"/>
  <c r="G37" i="14"/>
  <c r="E37" i="14"/>
  <c r="H82" i="14"/>
  <c r="D39" i="14"/>
  <c r="D82" i="14"/>
  <c r="C39" i="14"/>
  <c r="H39" i="14"/>
  <c r="G39" i="14"/>
  <c r="G82" i="14"/>
  <c r="F39" i="14"/>
  <c r="F82" i="14"/>
  <c r="E39" i="14"/>
  <c r="C82" i="14"/>
  <c r="E82" i="14"/>
  <c r="H42" i="14"/>
  <c r="F42" i="14"/>
  <c r="H85" i="14"/>
  <c r="G85" i="14"/>
  <c r="F85" i="14"/>
  <c r="E85" i="14"/>
  <c r="D85" i="14"/>
  <c r="C42" i="14"/>
  <c r="E42" i="14"/>
  <c r="C85" i="14"/>
  <c r="G42" i="14"/>
  <c r="D42" i="14"/>
  <c r="F81" i="14"/>
  <c r="H81" i="14"/>
  <c r="E81" i="14"/>
  <c r="G38" i="14"/>
  <c r="D38" i="14"/>
  <c r="D81" i="14"/>
  <c r="C38" i="14"/>
  <c r="H38" i="14"/>
  <c r="E38" i="14"/>
  <c r="C81" i="14"/>
  <c r="F38" i="14"/>
  <c r="G81" i="14"/>
  <c r="H41" i="14"/>
  <c r="G41" i="14"/>
  <c r="F41" i="14"/>
  <c r="E41" i="14"/>
  <c r="D41" i="14"/>
  <c r="H84" i="14"/>
  <c r="C41" i="14"/>
  <c r="G84" i="14"/>
  <c r="F84" i="14"/>
  <c r="E84" i="14"/>
  <c r="D84" i="14"/>
  <c r="C84" i="14"/>
  <c r="C83" i="14"/>
  <c r="F83" i="14"/>
  <c r="H40" i="14"/>
  <c r="G40" i="14"/>
  <c r="F40" i="14"/>
  <c r="E40" i="14"/>
  <c r="C40" i="14"/>
  <c r="D40" i="14"/>
  <c r="D83" i="14"/>
  <c r="H83" i="14"/>
  <c r="G83" i="14"/>
  <c r="E83" i="14"/>
  <c r="C79" i="14"/>
  <c r="H36" i="14"/>
  <c r="G36" i="14"/>
  <c r="F36" i="14"/>
  <c r="E36" i="14"/>
  <c r="D36" i="14"/>
  <c r="H79" i="14"/>
  <c r="G79" i="14"/>
  <c r="F79" i="14"/>
  <c r="E79" i="14"/>
  <c r="D79" i="14"/>
  <c r="C36" i="14"/>
  <c r="H48" i="14"/>
  <c r="I48" i="14" s="1"/>
  <c r="J48" i="14"/>
  <c r="Y13" i="7"/>
  <c r="Q13" i="7"/>
  <c r="H86" i="14" l="1"/>
  <c r="I86" i="14" s="1"/>
  <c r="AU38" i="12" l="1"/>
  <c r="AT38" i="12"/>
  <c r="AS38" i="12"/>
  <c r="AR38" i="12"/>
  <c r="AQ38" i="12"/>
  <c r="AP38" i="12"/>
  <c r="AU37" i="12"/>
  <c r="AT37" i="12"/>
  <c r="AS37" i="12"/>
  <c r="AR37" i="12"/>
  <c r="AQ37" i="12"/>
  <c r="AP37" i="12"/>
  <c r="AU36" i="12"/>
  <c r="AT36" i="12"/>
  <c r="AS36" i="12"/>
  <c r="AR36" i="12"/>
  <c r="AQ36" i="12"/>
  <c r="AP36" i="12"/>
  <c r="AU35" i="12"/>
  <c r="AT35" i="12"/>
  <c r="AS35" i="12"/>
  <c r="AR35" i="12"/>
  <c r="AQ35" i="12"/>
  <c r="AP35" i="12"/>
  <c r="AU34" i="12"/>
  <c r="AT34" i="12"/>
  <c r="AS34" i="12"/>
  <c r="AR34" i="12"/>
  <c r="AQ34" i="12"/>
  <c r="AP34" i="12"/>
  <c r="AU33" i="12"/>
  <c r="AT33" i="12"/>
  <c r="AS33" i="12"/>
  <c r="AR33" i="12"/>
  <c r="AQ33" i="12"/>
  <c r="AP33" i="12"/>
  <c r="AU32" i="12"/>
  <c r="AT32" i="12"/>
  <c r="AS32" i="12"/>
  <c r="AR32" i="12"/>
  <c r="AQ32" i="12"/>
  <c r="AP32" i="12"/>
  <c r="AU31" i="12"/>
  <c r="AT31" i="12"/>
  <c r="AS31" i="12"/>
  <c r="AR31" i="12"/>
  <c r="AQ31" i="12"/>
  <c r="AP31" i="12"/>
  <c r="AU30" i="12"/>
  <c r="AT30" i="12"/>
  <c r="AS30" i="12"/>
  <c r="AR30" i="12"/>
  <c r="AQ30" i="12"/>
  <c r="AP30" i="12"/>
  <c r="AU29" i="12"/>
  <c r="AT29" i="12"/>
  <c r="AS29" i="12"/>
  <c r="AR29" i="12"/>
  <c r="AQ29" i="12"/>
  <c r="AP29" i="12"/>
  <c r="AU28" i="12"/>
  <c r="AT28" i="12"/>
  <c r="AS28" i="12"/>
  <c r="AR28" i="12"/>
  <c r="AQ28" i="12"/>
  <c r="AP28" i="12"/>
  <c r="AU27" i="12"/>
  <c r="AT27" i="12"/>
  <c r="AS27" i="12"/>
  <c r="AR27" i="12"/>
  <c r="AQ27" i="12"/>
  <c r="AP27" i="12"/>
  <c r="AF38" i="12"/>
  <c r="H40" i="12" s="1"/>
  <c r="AF37" i="12"/>
  <c r="H39" i="12" s="1"/>
  <c r="AF36" i="12"/>
  <c r="H38" i="12" s="1"/>
  <c r="AF35" i="12"/>
  <c r="H37" i="12" s="1"/>
  <c r="AF34" i="12"/>
  <c r="H36" i="12" s="1"/>
  <c r="AF33" i="12"/>
  <c r="H35" i="12" s="1"/>
  <c r="AF32" i="12"/>
  <c r="H34" i="12" s="1"/>
  <c r="AD38" i="12"/>
  <c r="F40" i="12" s="1"/>
  <c r="AD37" i="12"/>
  <c r="F39" i="12" s="1"/>
  <c r="AD36" i="12"/>
  <c r="F38" i="12" s="1"/>
  <c r="AD35" i="12"/>
  <c r="F37" i="12" s="1"/>
  <c r="AD34" i="12"/>
  <c r="F36" i="12" s="1"/>
  <c r="AD33" i="12"/>
  <c r="F35" i="12" s="1"/>
  <c r="AD32" i="12"/>
  <c r="F34" i="12" s="1"/>
  <c r="AC38" i="12"/>
  <c r="E40" i="12" s="1"/>
  <c r="AC37" i="12"/>
  <c r="E39" i="12" s="1"/>
  <c r="AC36" i="12"/>
  <c r="E38" i="12" s="1"/>
  <c r="AC35" i="12"/>
  <c r="E37" i="12" s="1"/>
  <c r="AC34" i="12"/>
  <c r="E36" i="12" s="1"/>
  <c r="AC33" i="12"/>
  <c r="E35" i="12" s="1"/>
  <c r="AC32" i="12"/>
  <c r="E34" i="12" s="1"/>
  <c r="AE38" i="12"/>
  <c r="G40" i="12" s="1"/>
  <c r="AE37" i="12"/>
  <c r="G39" i="12" s="1"/>
  <c r="AE36" i="12"/>
  <c r="G38" i="12" s="1"/>
  <c r="AE35" i="12"/>
  <c r="G37" i="12" s="1"/>
  <c r="AE34" i="12"/>
  <c r="G36" i="12" s="1"/>
  <c r="AE33" i="12"/>
  <c r="G35" i="12" s="1"/>
  <c r="AE32" i="12"/>
  <c r="G34" i="12" s="1"/>
  <c r="AB38" i="12"/>
  <c r="D40" i="12" s="1"/>
  <c r="AB37" i="12"/>
  <c r="D39" i="12" s="1"/>
  <c r="AB36" i="12"/>
  <c r="D38" i="12" s="1"/>
  <c r="AB35" i="12"/>
  <c r="D37" i="12" s="1"/>
  <c r="AB34" i="12"/>
  <c r="D36" i="12" s="1"/>
  <c r="AB33" i="12"/>
  <c r="D35" i="12" s="1"/>
  <c r="AB32" i="12"/>
  <c r="D34" i="12" s="1"/>
  <c r="AA38" i="12"/>
  <c r="C40" i="12" s="1"/>
  <c r="AA37" i="12"/>
  <c r="C39" i="12" s="1"/>
  <c r="AA36" i="12"/>
  <c r="C38" i="12" s="1"/>
  <c r="AA35" i="12"/>
  <c r="C37" i="12" s="1"/>
  <c r="AA34" i="12"/>
  <c r="C36" i="12" s="1"/>
  <c r="AA33" i="12"/>
  <c r="C35" i="12" s="1"/>
  <c r="AA32" i="12"/>
  <c r="C34" i="12" s="1"/>
  <c r="AF31" i="12"/>
  <c r="H33" i="12" s="1"/>
  <c r="AE31" i="12"/>
  <c r="G33" i="12" s="1"/>
  <c r="AF30" i="12"/>
  <c r="H32" i="12" s="1"/>
  <c r="AE30" i="12"/>
  <c r="G32" i="12" s="1"/>
  <c r="AF29" i="12"/>
  <c r="H31" i="12" s="1"/>
  <c r="AE29" i="12"/>
  <c r="G31" i="12" s="1"/>
  <c r="AF28" i="12"/>
  <c r="H30" i="12" s="1"/>
  <c r="AE28" i="12"/>
  <c r="G30" i="12" s="1"/>
  <c r="AF27" i="12"/>
  <c r="H29" i="12" s="1"/>
  <c r="AE27" i="12"/>
  <c r="G29" i="12" s="1"/>
  <c r="AD31" i="12"/>
  <c r="F33" i="12" s="1"/>
  <c r="AC31" i="12"/>
  <c r="E33" i="12" s="1"/>
  <c r="AD30" i="12"/>
  <c r="F32" i="12" s="1"/>
  <c r="AC30" i="12"/>
  <c r="E32" i="12" s="1"/>
  <c r="AD29" i="12"/>
  <c r="F31" i="12" s="1"/>
  <c r="AC29" i="12"/>
  <c r="E31" i="12" s="1"/>
  <c r="AD28" i="12"/>
  <c r="F30" i="12" s="1"/>
  <c r="AC28" i="12"/>
  <c r="E30" i="12" s="1"/>
  <c r="AD27" i="12"/>
  <c r="F29" i="12" s="1"/>
  <c r="AC27" i="12"/>
  <c r="E29" i="12" s="1"/>
  <c r="AB31" i="12"/>
  <c r="D33" i="12" s="1"/>
  <c r="AA31" i="12"/>
  <c r="C33" i="12" s="1"/>
  <c r="AB30" i="12"/>
  <c r="D32" i="12" s="1"/>
  <c r="AA30" i="12"/>
  <c r="C32" i="12" s="1"/>
  <c r="AB29" i="12"/>
  <c r="D31" i="12" s="1"/>
  <c r="AA29" i="12"/>
  <c r="AB28" i="12"/>
  <c r="D30" i="12" s="1"/>
  <c r="AA28" i="12"/>
  <c r="C30" i="12" s="1"/>
  <c r="AB27" i="12"/>
  <c r="D29" i="12" s="1"/>
  <c r="AA27" i="12"/>
  <c r="C29" i="12" s="1"/>
  <c r="AW21" i="12"/>
  <c r="AV21" i="12"/>
  <c r="AU21" i="12"/>
  <c r="AT21" i="12"/>
  <c r="AS21" i="12"/>
  <c r="AR21" i="12"/>
  <c r="AQ21" i="12"/>
  <c r="AP21" i="12"/>
  <c r="AH21" i="12"/>
  <c r="AG21" i="12"/>
  <c r="AF21" i="12"/>
  <c r="AE21" i="12"/>
  <c r="AD21" i="12"/>
  <c r="AC21" i="12"/>
  <c r="AB21" i="12"/>
  <c r="AA21" i="12"/>
  <c r="C31" i="12" l="1"/>
  <c r="K31" i="12" s="1"/>
  <c r="L38" i="12"/>
  <c r="L32" i="12"/>
  <c r="L30" i="12"/>
  <c r="L36" i="12"/>
  <c r="L37" i="12"/>
  <c r="L29" i="12"/>
  <c r="L33" i="12"/>
  <c r="L34" i="12"/>
  <c r="K34" i="12"/>
  <c r="K35" i="12"/>
  <c r="K39" i="12"/>
  <c r="K30" i="12"/>
  <c r="K29" i="12"/>
  <c r="K33" i="12"/>
  <c r="K38" i="12"/>
  <c r="L39" i="12"/>
  <c r="L40" i="12"/>
  <c r="L31" i="12"/>
  <c r="L35" i="12"/>
  <c r="H90" i="12" l="1"/>
  <c r="D90" i="12"/>
  <c r="E90" i="12"/>
  <c r="G90" i="12"/>
  <c r="C90" i="12"/>
  <c r="F90" i="12"/>
  <c r="H66" i="12"/>
  <c r="G66" i="12"/>
  <c r="F66" i="12"/>
  <c r="E66" i="12"/>
  <c r="C66" i="12"/>
  <c r="D66" i="12"/>
  <c r="H73" i="12"/>
  <c r="G73" i="12"/>
  <c r="F73" i="12"/>
  <c r="E73" i="12"/>
  <c r="D73" i="12"/>
  <c r="C73" i="12"/>
  <c r="F72" i="12"/>
  <c r="E72" i="12"/>
  <c r="D72" i="12"/>
  <c r="G72" i="12"/>
  <c r="C72" i="12"/>
  <c r="H72" i="12"/>
  <c r="H69" i="12"/>
  <c r="G69" i="12"/>
  <c r="F69" i="12"/>
  <c r="E69" i="12"/>
  <c r="D69" i="12"/>
  <c r="C69" i="12"/>
  <c r="D71" i="12"/>
  <c r="C71" i="12"/>
  <c r="H71" i="12"/>
  <c r="E71" i="12"/>
  <c r="G71" i="12"/>
  <c r="F71" i="12"/>
  <c r="C63" i="12"/>
  <c r="G63" i="12"/>
  <c r="F63" i="12"/>
  <c r="E63" i="12"/>
  <c r="D63" i="12"/>
  <c r="D67" i="12"/>
  <c r="E67" i="12"/>
  <c r="C67" i="12"/>
  <c r="H67" i="12"/>
  <c r="G67" i="12"/>
  <c r="F67" i="12"/>
  <c r="C70" i="12"/>
  <c r="H70" i="12"/>
  <c r="G70" i="12"/>
  <c r="F70" i="12"/>
  <c r="E70" i="12"/>
  <c r="D70" i="12"/>
  <c r="F68" i="12"/>
  <c r="E68" i="12"/>
  <c r="D68" i="12"/>
  <c r="C68" i="12"/>
  <c r="G68" i="12"/>
  <c r="H68" i="12"/>
  <c r="M31" i="12"/>
  <c r="E64" i="12"/>
  <c r="D64" i="12"/>
  <c r="C64" i="12"/>
  <c r="F64" i="12"/>
  <c r="G64" i="12"/>
  <c r="H65" i="12"/>
  <c r="G65" i="12"/>
  <c r="F65" i="12"/>
  <c r="E65" i="12"/>
  <c r="D65" i="12"/>
  <c r="C65" i="12"/>
  <c r="C62" i="12"/>
  <c r="E62" i="12"/>
  <c r="G62" i="12"/>
  <c r="D62" i="12"/>
  <c r="F62" i="12"/>
  <c r="H89" i="12"/>
  <c r="G89" i="12"/>
  <c r="F89" i="12"/>
  <c r="E89" i="12"/>
  <c r="D89" i="12"/>
  <c r="C89" i="12"/>
  <c r="H98" i="12"/>
  <c r="E98" i="12"/>
  <c r="G98" i="12"/>
  <c r="F98" i="12"/>
  <c r="D98" i="12"/>
  <c r="C98" i="12"/>
  <c r="F92" i="12"/>
  <c r="E92" i="12"/>
  <c r="D92" i="12"/>
  <c r="C92" i="12"/>
  <c r="H92" i="12"/>
  <c r="G92" i="12"/>
  <c r="M34" i="12"/>
  <c r="H93" i="12"/>
  <c r="G93" i="12"/>
  <c r="F93" i="12"/>
  <c r="E93" i="12"/>
  <c r="D93" i="12"/>
  <c r="C93" i="12"/>
  <c r="H97" i="12"/>
  <c r="G97" i="12"/>
  <c r="C97" i="12"/>
  <c r="F97" i="12"/>
  <c r="E97" i="12"/>
  <c r="D97" i="12"/>
  <c r="E94" i="12"/>
  <c r="H94" i="12"/>
  <c r="G94" i="12"/>
  <c r="F94" i="12"/>
  <c r="D94" i="12"/>
  <c r="C94" i="12"/>
  <c r="H88" i="12"/>
  <c r="G88" i="12"/>
  <c r="F88" i="12"/>
  <c r="E88" i="12"/>
  <c r="D88" i="12"/>
  <c r="C88" i="12"/>
  <c r="K36" i="12"/>
  <c r="K32" i="12"/>
  <c r="K37" i="12"/>
  <c r="M29" i="12"/>
  <c r="M33" i="12"/>
  <c r="M38" i="12"/>
  <c r="K40" i="12"/>
  <c r="M35" i="12"/>
  <c r="M30" i="12"/>
  <c r="M39" i="12"/>
  <c r="P28" i="8"/>
  <c r="C46" i="8" s="1"/>
  <c r="S40" i="8"/>
  <c r="S39" i="8"/>
  <c r="S38" i="8"/>
  <c r="S37" i="8"/>
  <c r="S36" i="8"/>
  <c r="S35" i="8"/>
  <c r="S34" i="8"/>
  <c r="S33" i="8"/>
  <c r="S32" i="8"/>
  <c r="S31" i="8"/>
  <c r="S30" i="8"/>
  <c r="S29" i="8"/>
  <c r="S28" i="8"/>
  <c r="P40" i="8"/>
  <c r="P39" i="8"/>
  <c r="P38" i="8"/>
  <c r="P37" i="8"/>
  <c r="P36" i="8"/>
  <c r="P35" i="8"/>
  <c r="P34" i="8"/>
  <c r="P33" i="8"/>
  <c r="P32" i="8"/>
  <c r="P31" i="8"/>
  <c r="P30" i="8"/>
  <c r="P29" i="8"/>
  <c r="F79" i="13"/>
  <c r="V79" i="13" s="1"/>
  <c r="G79" i="13"/>
  <c r="W79" i="13" s="1"/>
  <c r="H79" i="13"/>
  <c r="X79" i="13" s="1"/>
  <c r="I79" i="13"/>
  <c r="Y79" i="13" s="1"/>
  <c r="J79" i="13"/>
  <c r="Z79" i="13" s="1"/>
  <c r="K79" i="13"/>
  <c r="AA79" i="13" s="1"/>
  <c r="F80" i="13"/>
  <c r="V80" i="13" s="1"/>
  <c r="G80" i="13"/>
  <c r="W80" i="13" s="1"/>
  <c r="H80" i="13"/>
  <c r="X80" i="13" s="1"/>
  <c r="I80" i="13"/>
  <c r="Y80" i="13" s="1"/>
  <c r="J80" i="13"/>
  <c r="Z80" i="13" s="1"/>
  <c r="K80" i="13"/>
  <c r="AA80" i="13" s="1"/>
  <c r="F81" i="13"/>
  <c r="V81" i="13" s="1"/>
  <c r="G81" i="13"/>
  <c r="W81" i="13" s="1"/>
  <c r="H81" i="13"/>
  <c r="X81" i="13" s="1"/>
  <c r="I81" i="13"/>
  <c r="Y81" i="13" s="1"/>
  <c r="J81" i="13"/>
  <c r="Z81" i="13" s="1"/>
  <c r="K81" i="13"/>
  <c r="AA81" i="13" s="1"/>
  <c r="F82" i="13"/>
  <c r="V82" i="13" s="1"/>
  <c r="G82" i="13"/>
  <c r="W82" i="13" s="1"/>
  <c r="H82" i="13"/>
  <c r="X82" i="13" s="1"/>
  <c r="I82" i="13"/>
  <c r="Y82" i="13" s="1"/>
  <c r="J82" i="13"/>
  <c r="Z82" i="13" s="1"/>
  <c r="K82" i="13"/>
  <c r="AA82" i="13" s="1"/>
  <c r="F83" i="13"/>
  <c r="V83" i="13" s="1"/>
  <c r="G83" i="13"/>
  <c r="W83" i="13" s="1"/>
  <c r="H83" i="13"/>
  <c r="X83" i="13" s="1"/>
  <c r="I83" i="13"/>
  <c r="Y83" i="13" s="1"/>
  <c r="J83" i="13"/>
  <c r="Z83" i="13" s="1"/>
  <c r="K83" i="13"/>
  <c r="AA83" i="13" s="1"/>
  <c r="F84" i="13"/>
  <c r="V84" i="13" s="1"/>
  <c r="G84" i="13"/>
  <c r="W84" i="13" s="1"/>
  <c r="H84" i="13"/>
  <c r="X84" i="13" s="1"/>
  <c r="I84" i="13"/>
  <c r="Y84" i="13" s="1"/>
  <c r="J84" i="13"/>
  <c r="Z84" i="13" s="1"/>
  <c r="K84" i="13"/>
  <c r="AA84" i="13" s="1"/>
  <c r="F85" i="13"/>
  <c r="V85" i="13" s="1"/>
  <c r="G85" i="13"/>
  <c r="W85" i="13" s="1"/>
  <c r="H85" i="13"/>
  <c r="X85" i="13" s="1"/>
  <c r="I85" i="13"/>
  <c r="Y85" i="13" s="1"/>
  <c r="J85" i="13"/>
  <c r="Z85" i="13" s="1"/>
  <c r="K85" i="13"/>
  <c r="AA85" i="13" s="1"/>
  <c r="F86" i="13"/>
  <c r="V86" i="13" s="1"/>
  <c r="G86" i="13"/>
  <c r="W86" i="13" s="1"/>
  <c r="H86" i="13"/>
  <c r="X86" i="13" s="1"/>
  <c r="I86" i="13"/>
  <c r="Y86" i="13" s="1"/>
  <c r="J86" i="13"/>
  <c r="Z86" i="13" s="1"/>
  <c r="K86" i="13"/>
  <c r="AA86" i="13" s="1"/>
  <c r="F87" i="13"/>
  <c r="V87" i="13" s="1"/>
  <c r="G87" i="13"/>
  <c r="W87" i="13" s="1"/>
  <c r="H87" i="13"/>
  <c r="X87" i="13" s="1"/>
  <c r="I87" i="13"/>
  <c r="Y87" i="13" s="1"/>
  <c r="J87" i="13"/>
  <c r="Z87" i="13" s="1"/>
  <c r="K87" i="13"/>
  <c r="AA87" i="13" s="1"/>
  <c r="F88" i="13"/>
  <c r="V88" i="13" s="1"/>
  <c r="G88" i="13"/>
  <c r="W88" i="13" s="1"/>
  <c r="H88" i="13"/>
  <c r="X88" i="13" s="1"/>
  <c r="I88" i="13"/>
  <c r="Y88" i="13" s="1"/>
  <c r="J88" i="13"/>
  <c r="Z88" i="13" s="1"/>
  <c r="K88" i="13"/>
  <c r="AA88" i="13" s="1"/>
  <c r="F89" i="13"/>
  <c r="V89" i="13" s="1"/>
  <c r="G89" i="13"/>
  <c r="W89" i="13" s="1"/>
  <c r="H89" i="13"/>
  <c r="X89" i="13" s="1"/>
  <c r="I89" i="13"/>
  <c r="Y89" i="13" s="1"/>
  <c r="J89" i="13"/>
  <c r="Z89" i="13" s="1"/>
  <c r="K89" i="13"/>
  <c r="AA89" i="13" s="1"/>
  <c r="F90" i="13"/>
  <c r="V90" i="13" s="1"/>
  <c r="G90" i="13"/>
  <c r="W90" i="13" s="1"/>
  <c r="H90" i="13"/>
  <c r="X90" i="13" s="1"/>
  <c r="I90" i="13"/>
  <c r="Y90" i="13" s="1"/>
  <c r="J90" i="13"/>
  <c r="Z90" i="13" s="1"/>
  <c r="K90" i="13"/>
  <c r="AA90" i="13" s="1"/>
  <c r="F61" i="13"/>
  <c r="V61" i="13" s="1"/>
  <c r="G61" i="13"/>
  <c r="W61" i="13" s="1"/>
  <c r="H61" i="13"/>
  <c r="X61" i="13" s="1"/>
  <c r="I61" i="13"/>
  <c r="J61" i="13"/>
  <c r="Z61" i="13" s="1"/>
  <c r="K61" i="13"/>
  <c r="F62" i="13"/>
  <c r="V62" i="13" s="1"/>
  <c r="G62" i="13"/>
  <c r="W62" i="13" s="1"/>
  <c r="H62" i="13"/>
  <c r="X62" i="13" s="1"/>
  <c r="I62" i="13"/>
  <c r="J62" i="13"/>
  <c r="Z62" i="13" s="1"/>
  <c r="K62" i="13"/>
  <c r="F63" i="13"/>
  <c r="V63" i="13" s="1"/>
  <c r="G63" i="13"/>
  <c r="W63" i="13" s="1"/>
  <c r="H63" i="13"/>
  <c r="X63" i="13" s="1"/>
  <c r="I63" i="13"/>
  <c r="J63" i="13"/>
  <c r="Z63" i="13" s="1"/>
  <c r="AB63" i="13" s="1"/>
  <c r="K63" i="13"/>
  <c r="F64" i="13"/>
  <c r="V64" i="13" s="1"/>
  <c r="G64" i="13"/>
  <c r="W64" i="13" s="1"/>
  <c r="H64" i="13"/>
  <c r="X64" i="13" s="1"/>
  <c r="I64" i="13"/>
  <c r="J64" i="13"/>
  <c r="Z64" i="13" s="1"/>
  <c r="K64" i="13"/>
  <c r="F65" i="13"/>
  <c r="V65" i="13" s="1"/>
  <c r="G65" i="13"/>
  <c r="W65" i="13" s="1"/>
  <c r="H65" i="13"/>
  <c r="X65" i="13" s="1"/>
  <c r="I65" i="13"/>
  <c r="J65" i="13"/>
  <c r="Z65" i="13" s="1"/>
  <c r="K65" i="13"/>
  <c r="F66" i="13"/>
  <c r="V66" i="13" s="1"/>
  <c r="G66" i="13"/>
  <c r="W66" i="13" s="1"/>
  <c r="H66" i="13"/>
  <c r="X66" i="13" s="1"/>
  <c r="I66" i="13"/>
  <c r="J66" i="13"/>
  <c r="Z66" i="13" s="1"/>
  <c r="K66" i="13"/>
  <c r="F67" i="13"/>
  <c r="V67" i="13" s="1"/>
  <c r="G67" i="13"/>
  <c r="W67" i="13" s="1"/>
  <c r="H67" i="13"/>
  <c r="X67" i="13" s="1"/>
  <c r="I67" i="13"/>
  <c r="J67" i="13"/>
  <c r="Z67" i="13" s="1"/>
  <c r="AB67" i="13" s="1"/>
  <c r="K67" i="13"/>
  <c r="F68" i="13"/>
  <c r="V68" i="13" s="1"/>
  <c r="G68" i="13"/>
  <c r="W68" i="13" s="1"/>
  <c r="H68" i="13"/>
  <c r="X68" i="13" s="1"/>
  <c r="I68" i="13"/>
  <c r="J68" i="13"/>
  <c r="Z68" i="13" s="1"/>
  <c r="K68" i="13"/>
  <c r="F69" i="13"/>
  <c r="V69" i="13" s="1"/>
  <c r="G69" i="13"/>
  <c r="W69" i="13" s="1"/>
  <c r="H69" i="13"/>
  <c r="X69" i="13" s="1"/>
  <c r="I69" i="13"/>
  <c r="J69" i="13"/>
  <c r="Z69" i="13" s="1"/>
  <c r="K69" i="13"/>
  <c r="F70" i="13"/>
  <c r="V70" i="13" s="1"/>
  <c r="G70" i="13"/>
  <c r="W70" i="13" s="1"/>
  <c r="H70" i="13"/>
  <c r="X70" i="13" s="1"/>
  <c r="I70" i="13"/>
  <c r="J70" i="13"/>
  <c r="Z70" i="13" s="1"/>
  <c r="K70" i="13"/>
  <c r="F71" i="13"/>
  <c r="V71" i="13" s="1"/>
  <c r="G71" i="13"/>
  <c r="W71" i="13" s="1"/>
  <c r="H71" i="13"/>
  <c r="X71" i="13" s="1"/>
  <c r="I71" i="13"/>
  <c r="J71" i="13"/>
  <c r="Z71" i="13" s="1"/>
  <c r="AB71" i="13" s="1"/>
  <c r="K71" i="13"/>
  <c r="F72" i="13"/>
  <c r="V72" i="13" s="1"/>
  <c r="AB72" i="13" s="1"/>
  <c r="G72" i="13"/>
  <c r="W72" i="13" s="1"/>
  <c r="H72" i="13"/>
  <c r="X72" i="13" s="1"/>
  <c r="I72" i="13"/>
  <c r="J72" i="13"/>
  <c r="Z72" i="13" s="1"/>
  <c r="K72" i="13"/>
  <c r="L90" i="13"/>
  <c r="L89" i="13"/>
  <c r="L88" i="13"/>
  <c r="L87" i="13"/>
  <c r="L86" i="13"/>
  <c r="L85" i="13"/>
  <c r="L84" i="13"/>
  <c r="L83" i="13"/>
  <c r="L82" i="13"/>
  <c r="L81" i="13"/>
  <c r="L80" i="13"/>
  <c r="L79" i="13"/>
  <c r="L72" i="13"/>
  <c r="L71" i="13"/>
  <c r="L70" i="13"/>
  <c r="L69" i="13"/>
  <c r="L68" i="13"/>
  <c r="L67" i="13"/>
  <c r="L66" i="13"/>
  <c r="L65" i="13"/>
  <c r="L64" i="13"/>
  <c r="L63" i="13"/>
  <c r="L62" i="13"/>
  <c r="L61" i="13"/>
  <c r="AB65" i="13" l="1"/>
  <c r="AB69" i="13"/>
  <c r="AB64" i="13"/>
  <c r="AB66" i="13"/>
  <c r="AB68" i="13"/>
  <c r="AB70" i="13"/>
  <c r="F155" i="13" s="1"/>
  <c r="AB62" i="13"/>
  <c r="D113" i="13"/>
  <c r="F156" i="13"/>
  <c r="E113" i="13"/>
  <c r="G156" i="13"/>
  <c r="F113" i="13"/>
  <c r="H156" i="13"/>
  <c r="G113" i="13"/>
  <c r="E156" i="13"/>
  <c r="H113" i="13"/>
  <c r="C156" i="13"/>
  <c r="D156" i="13"/>
  <c r="C113" i="13"/>
  <c r="H111" i="13"/>
  <c r="E111" i="13"/>
  <c r="G154" i="13"/>
  <c r="C154" i="13"/>
  <c r="D154" i="13"/>
  <c r="C111" i="13"/>
  <c r="E154" i="13"/>
  <c r="D111" i="13"/>
  <c r="F154" i="13"/>
  <c r="F111" i="13"/>
  <c r="H154" i="13"/>
  <c r="G111" i="13"/>
  <c r="D109" i="13"/>
  <c r="F152" i="13"/>
  <c r="E152" i="13"/>
  <c r="E109" i="13"/>
  <c r="G152" i="13"/>
  <c r="C152" i="13"/>
  <c r="F109" i="13"/>
  <c r="H152" i="13"/>
  <c r="G109" i="13"/>
  <c r="H109" i="13"/>
  <c r="D152" i="13"/>
  <c r="C109" i="13"/>
  <c r="H107" i="13"/>
  <c r="C150" i="13"/>
  <c r="D150" i="13"/>
  <c r="E107" i="13"/>
  <c r="C107" i="13"/>
  <c r="E150" i="13"/>
  <c r="G150" i="13"/>
  <c r="D107" i="13"/>
  <c r="F150" i="13"/>
  <c r="F107" i="13"/>
  <c r="H150" i="13"/>
  <c r="G107" i="13"/>
  <c r="D105" i="13"/>
  <c r="F148" i="13"/>
  <c r="C148" i="13"/>
  <c r="E105" i="13"/>
  <c r="G148" i="13"/>
  <c r="F105" i="13"/>
  <c r="H148" i="13"/>
  <c r="G105" i="13"/>
  <c r="E148" i="13"/>
  <c r="H105" i="13"/>
  <c r="D148" i="13"/>
  <c r="C105" i="13"/>
  <c r="V73" i="13"/>
  <c r="D155" i="13"/>
  <c r="C112" i="13"/>
  <c r="E155" i="13"/>
  <c r="D112" i="13"/>
  <c r="C155" i="13"/>
  <c r="E112" i="13"/>
  <c r="G155" i="13"/>
  <c r="F112" i="13"/>
  <c r="H155" i="13"/>
  <c r="G112" i="13"/>
  <c r="H112" i="13"/>
  <c r="Z73" i="13"/>
  <c r="D147" i="13"/>
  <c r="C104" i="13"/>
  <c r="E147" i="13"/>
  <c r="D104" i="13"/>
  <c r="F147" i="13"/>
  <c r="C147" i="13"/>
  <c r="E104" i="13"/>
  <c r="G147" i="13"/>
  <c r="G104" i="13"/>
  <c r="F104" i="13"/>
  <c r="H147" i="13"/>
  <c r="H104" i="13"/>
  <c r="L91" i="13"/>
  <c r="F110" i="13"/>
  <c r="H153" i="13"/>
  <c r="G110" i="13"/>
  <c r="C110" i="13"/>
  <c r="H110" i="13"/>
  <c r="E153" i="13"/>
  <c r="C153" i="13"/>
  <c r="D153" i="13"/>
  <c r="G153" i="13"/>
  <c r="D110" i="13"/>
  <c r="F153" i="13"/>
  <c r="E110" i="13"/>
  <c r="F106" i="13"/>
  <c r="H149" i="13"/>
  <c r="G106" i="13"/>
  <c r="C106" i="13"/>
  <c r="H106" i="13"/>
  <c r="C149" i="13"/>
  <c r="D149" i="13"/>
  <c r="E149" i="13"/>
  <c r="D106" i="13"/>
  <c r="F149" i="13"/>
  <c r="E106" i="13"/>
  <c r="G149" i="13"/>
  <c r="X73" i="13"/>
  <c r="D151" i="13"/>
  <c r="G108" i="13"/>
  <c r="C108" i="13"/>
  <c r="E151" i="13"/>
  <c r="C151" i="13"/>
  <c r="D108" i="13"/>
  <c r="F151" i="13"/>
  <c r="E108" i="13"/>
  <c r="G151" i="13"/>
  <c r="F108" i="13"/>
  <c r="H151" i="13"/>
  <c r="H108" i="13"/>
  <c r="F114" i="13"/>
  <c r="H157" i="13"/>
  <c r="G114" i="13"/>
  <c r="H114" i="13"/>
  <c r="C157" i="13"/>
  <c r="C114" i="13"/>
  <c r="E157" i="13"/>
  <c r="D157" i="13"/>
  <c r="E114" i="13"/>
  <c r="D114" i="13"/>
  <c r="F157" i="13"/>
  <c r="G157" i="13"/>
  <c r="AB61" i="13"/>
  <c r="W73" i="13"/>
  <c r="M37" i="12"/>
  <c r="F96" i="12"/>
  <c r="E96" i="12"/>
  <c r="D96" i="12"/>
  <c r="C96" i="12"/>
  <c r="H96" i="12"/>
  <c r="G96" i="12"/>
  <c r="M32" i="12"/>
  <c r="D91" i="12"/>
  <c r="C91" i="12"/>
  <c r="G91" i="12"/>
  <c r="H91" i="12"/>
  <c r="F91" i="12"/>
  <c r="E91" i="12"/>
  <c r="M36" i="12"/>
  <c r="D95" i="12"/>
  <c r="C95" i="12"/>
  <c r="H95" i="12"/>
  <c r="F95" i="12"/>
  <c r="E95" i="12"/>
  <c r="G95" i="12"/>
  <c r="M40" i="12"/>
  <c r="D99" i="12"/>
  <c r="C99" i="12"/>
  <c r="G99" i="12"/>
  <c r="H99" i="12"/>
  <c r="F99" i="12"/>
  <c r="E99" i="12"/>
  <c r="AB90" i="13"/>
  <c r="AB82" i="13"/>
  <c r="AB86" i="13"/>
  <c r="AB79" i="13"/>
  <c r="AB83" i="13"/>
  <c r="AB88" i="13"/>
  <c r="AB84" i="13"/>
  <c r="AB80" i="13"/>
  <c r="AB87" i="13"/>
  <c r="AB89" i="13"/>
  <c r="AB85" i="13"/>
  <c r="AB81" i="13"/>
  <c r="V91" i="13"/>
  <c r="Z91" i="13"/>
  <c r="W91" i="13"/>
  <c r="L73" i="13"/>
  <c r="AA91" i="13"/>
  <c r="Y91" i="13"/>
  <c r="X91" i="13"/>
  <c r="AB73" i="13" l="1"/>
  <c r="H103" i="13"/>
  <c r="C146" i="13"/>
  <c r="D146" i="13"/>
  <c r="G146" i="13"/>
  <c r="C103" i="13"/>
  <c r="E146" i="13"/>
  <c r="D103" i="13"/>
  <c r="F146" i="13"/>
  <c r="E103" i="13"/>
  <c r="F103" i="13"/>
  <c r="H146" i="13"/>
  <c r="G103" i="13"/>
  <c r="AB91" i="13"/>
  <c r="H115" i="13" l="1"/>
  <c r="I115" i="13" s="1"/>
  <c r="G115" i="13"/>
  <c r="C158" i="13"/>
  <c r="E115" i="13"/>
  <c r="G158" i="13"/>
  <c r="D158" i="13"/>
  <c r="C115" i="13"/>
  <c r="E158" i="13"/>
  <c r="D115" i="13"/>
  <c r="F158" i="13"/>
  <c r="F115" i="13"/>
  <c r="H158" i="13"/>
  <c r="I158" i="13" s="1"/>
  <c r="H62" i="12" l="1"/>
  <c r="H63" i="12"/>
  <c r="H64" i="12"/>
  <c r="AE26" i="13" l="1"/>
  <c r="AD26" i="13"/>
  <c r="AC26" i="13"/>
  <c r="AB26" i="13"/>
  <c r="AA26" i="13"/>
  <c r="Z26" i="13"/>
  <c r="Y26" i="13"/>
  <c r="X26" i="13"/>
  <c r="W26" i="13"/>
  <c r="V26" i="13"/>
  <c r="U26" i="13"/>
  <c r="T26" i="13"/>
  <c r="S26" i="13"/>
  <c r="R26" i="13"/>
  <c r="Q26" i="13"/>
  <c r="P26" i="13"/>
  <c r="AE25" i="13"/>
  <c r="AD25" i="13"/>
  <c r="AC25" i="13"/>
  <c r="AB25" i="13"/>
  <c r="AA25" i="13"/>
  <c r="Z25" i="13"/>
  <c r="Y25" i="13"/>
  <c r="X25" i="13"/>
  <c r="W25" i="13"/>
  <c r="V25" i="13"/>
  <c r="U25" i="13"/>
  <c r="T25" i="13"/>
  <c r="S25" i="13"/>
  <c r="R25" i="13"/>
  <c r="Q25" i="13"/>
  <c r="P25" i="13"/>
  <c r="AE24" i="13"/>
  <c r="AD24" i="13"/>
  <c r="AC24" i="13"/>
  <c r="AB24" i="13"/>
  <c r="AA24" i="13"/>
  <c r="Z24" i="13"/>
  <c r="Y24" i="13"/>
  <c r="X24" i="13"/>
  <c r="W24" i="13"/>
  <c r="V24" i="13"/>
  <c r="U24" i="13"/>
  <c r="T24" i="13"/>
  <c r="S24" i="13"/>
  <c r="R24" i="13"/>
  <c r="Q24" i="13"/>
  <c r="P24" i="13"/>
  <c r="AE23" i="13"/>
  <c r="AD23" i="13"/>
  <c r="AC23" i="13"/>
  <c r="AB23" i="13"/>
  <c r="AA23" i="13"/>
  <c r="Z23" i="13"/>
  <c r="Y23" i="13"/>
  <c r="X23" i="13"/>
  <c r="W23" i="13"/>
  <c r="V23" i="13"/>
  <c r="U23" i="13"/>
  <c r="T23" i="13"/>
  <c r="S23" i="13"/>
  <c r="R23" i="13"/>
  <c r="Q23" i="13"/>
  <c r="P23" i="13"/>
  <c r="AE22" i="13"/>
  <c r="AD22" i="13"/>
  <c r="AC22" i="13"/>
  <c r="AB22" i="13"/>
  <c r="AA22" i="13"/>
  <c r="Z22" i="13"/>
  <c r="Y22" i="13"/>
  <c r="X22" i="13"/>
  <c r="W22" i="13"/>
  <c r="V22" i="13"/>
  <c r="U22" i="13"/>
  <c r="T22" i="13"/>
  <c r="S22" i="13"/>
  <c r="R22" i="13"/>
  <c r="Q22" i="13"/>
  <c r="P22" i="13"/>
  <c r="M41" i="12"/>
  <c r="L41" i="12"/>
  <c r="K41" i="12"/>
  <c r="J41" i="12"/>
  <c r="I41" i="12"/>
  <c r="H41" i="12"/>
  <c r="G41" i="12"/>
  <c r="F41" i="12"/>
  <c r="E41" i="12"/>
  <c r="D41" i="12"/>
  <c r="C41" i="12"/>
  <c r="AD150" i="12"/>
  <c r="AD149" i="12"/>
  <c r="AD148" i="12"/>
  <c r="AD147" i="12"/>
  <c r="AD146" i="12"/>
  <c r="AE146" i="12" s="1"/>
  <c r="AD145" i="12"/>
  <c r="AD144" i="12"/>
  <c r="AD143" i="12"/>
  <c r="AD142" i="12"/>
  <c r="AD141" i="12"/>
  <c r="AD140" i="12"/>
  <c r="AD139" i="12"/>
  <c r="AD138" i="12"/>
  <c r="AD137" i="12"/>
  <c r="AD132" i="12"/>
  <c r="AD131" i="12"/>
  <c r="E74" i="12" l="1"/>
  <c r="E75" i="12" s="1"/>
  <c r="D74" i="12"/>
  <c r="D75" i="12" s="1"/>
  <c r="C74" i="12"/>
  <c r="C75" i="12" s="1"/>
  <c r="F74" i="12"/>
  <c r="F75" i="12" s="1"/>
  <c r="H74" i="12"/>
  <c r="H75" i="12" s="1"/>
  <c r="G74" i="12"/>
  <c r="G75" i="12" s="1"/>
  <c r="CP6" i="12"/>
  <c r="H100" i="12"/>
  <c r="G100" i="12"/>
  <c r="G101" i="12" s="1"/>
  <c r="F100" i="12"/>
  <c r="F101" i="12" s="1"/>
  <c r="E100" i="12"/>
  <c r="E101" i="12" s="1"/>
  <c r="D100" i="12"/>
  <c r="D101" i="12" s="1"/>
  <c r="C100" i="12"/>
  <c r="C101" i="12" s="1"/>
  <c r="AE147" i="12"/>
  <c r="AE131" i="12"/>
  <c r="AE143" i="12"/>
  <c r="AE140" i="12"/>
  <c r="AE137" i="12"/>
  <c r="AE149" i="12"/>
  <c r="I100" i="12" l="1"/>
  <c r="H101" i="12"/>
  <c r="I74" i="12"/>
  <c r="AN189" i="12"/>
  <c r="AM189" i="12"/>
  <c r="AL189" i="12"/>
  <c r="AK189" i="12"/>
  <c r="U125" i="12"/>
  <c r="T125" i="12"/>
  <c r="U124" i="12"/>
  <c r="T124" i="12"/>
  <c r="U123" i="12"/>
  <c r="T123" i="12"/>
  <c r="U122" i="12"/>
  <c r="T122" i="12"/>
  <c r="U121" i="12"/>
  <c r="T121" i="12"/>
  <c r="U120" i="12"/>
  <c r="T120" i="12"/>
  <c r="U119" i="12"/>
  <c r="T119" i="12"/>
  <c r="AS158" i="8" l="1"/>
  <c r="AS157" i="8"/>
  <c r="AS156" i="8"/>
  <c r="AS155" i="8"/>
  <c r="AS154" i="8"/>
  <c r="AS153" i="8"/>
  <c r="AS152" i="8"/>
  <c r="AS151" i="8"/>
  <c r="AS150" i="8"/>
  <c r="AS149" i="8"/>
  <c r="AS148" i="8"/>
  <c r="AS147" i="8"/>
  <c r="AS146" i="8"/>
  <c r="AS145" i="8"/>
  <c r="AS144" i="8"/>
  <c r="AS143" i="8"/>
  <c r="AS142" i="8"/>
  <c r="AS141" i="8"/>
  <c r="AS140" i="8"/>
  <c r="AS139" i="8"/>
  <c r="AS138" i="8"/>
  <c r="AS137" i="8"/>
  <c r="AS136" i="8"/>
  <c r="AS135" i="8"/>
  <c r="AS134" i="8"/>
  <c r="AS133" i="8"/>
  <c r="AS132" i="8"/>
  <c r="AS131" i="8"/>
  <c r="AS130" i="8"/>
  <c r="AS129" i="8"/>
  <c r="AS128" i="8"/>
  <c r="AS127" i="8"/>
  <c r="AS126" i="8"/>
  <c r="AS125" i="8"/>
  <c r="AS124" i="8"/>
  <c r="AS123" i="8"/>
  <c r="AS122" i="8"/>
  <c r="AS121" i="8"/>
  <c r="AS120" i="8"/>
  <c r="AS119" i="8"/>
  <c r="AS118" i="8"/>
  <c r="AS117" i="8"/>
  <c r="AS116" i="8"/>
  <c r="AS115" i="8"/>
  <c r="AS114" i="8"/>
  <c r="O8" i="9" l="1"/>
  <c r="N8" i="9"/>
  <c r="M8" i="9"/>
  <c r="L8" i="9"/>
  <c r="K8" i="9"/>
  <c r="J8" i="9"/>
  <c r="I8" i="9"/>
  <c r="H8" i="9"/>
  <c r="G8" i="9"/>
  <c r="F8" i="9"/>
  <c r="E8" i="9"/>
  <c r="D8" i="9"/>
  <c r="C8" i="9"/>
  <c r="O7" i="9"/>
  <c r="N7" i="9"/>
  <c r="M7" i="9"/>
  <c r="L7" i="9"/>
  <c r="K7" i="9"/>
  <c r="J7" i="9"/>
  <c r="I7" i="9"/>
  <c r="H7" i="9"/>
  <c r="G7" i="9"/>
  <c r="F7" i="9"/>
  <c r="E7" i="9"/>
  <c r="D7" i="9"/>
  <c r="C7" i="9"/>
  <c r="O6" i="9"/>
  <c r="N6" i="9"/>
  <c r="M6" i="9"/>
  <c r="L6" i="9"/>
  <c r="K6" i="9"/>
  <c r="J6" i="9"/>
  <c r="I6" i="9"/>
  <c r="H6" i="9"/>
  <c r="G6" i="9"/>
  <c r="F6" i="9"/>
  <c r="E6" i="9"/>
  <c r="D6" i="9"/>
  <c r="C6" i="9"/>
  <c r="O5" i="9"/>
  <c r="N5" i="9"/>
  <c r="M5" i="9"/>
  <c r="L5" i="9"/>
  <c r="K5" i="9"/>
  <c r="J5" i="9"/>
  <c r="I5" i="9"/>
  <c r="H5" i="9"/>
  <c r="G5" i="9"/>
  <c r="F5" i="9"/>
  <c r="E5" i="9"/>
  <c r="D5" i="9"/>
  <c r="C5" i="9"/>
  <c r="O4" i="9"/>
  <c r="N4" i="9"/>
  <c r="M4" i="9"/>
  <c r="L4" i="9"/>
  <c r="K4" i="9"/>
  <c r="J4" i="9"/>
  <c r="I4" i="9"/>
  <c r="H4" i="9"/>
  <c r="G4" i="9"/>
  <c r="F4" i="9"/>
  <c r="E4" i="9"/>
  <c r="D4" i="9"/>
  <c r="C4" i="9"/>
  <c r="O3" i="9"/>
  <c r="N3" i="9"/>
  <c r="M3" i="9"/>
  <c r="L3" i="9"/>
  <c r="K3" i="9"/>
  <c r="J3" i="9"/>
  <c r="I3" i="9"/>
  <c r="H3" i="9"/>
  <c r="G3" i="9"/>
  <c r="F3" i="9"/>
  <c r="E3" i="9"/>
  <c r="D3" i="9"/>
  <c r="C3" i="9"/>
  <c r="BF60" i="15" l="1"/>
  <c r="BT60" i="15"/>
  <c r="AR60" i="15"/>
  <c r="AD60" i="15"/>
  <c r="P60" i="15"/>
  <c r="CH60" i="15" s="1"/>
  <c r="BF17" i="15"/>
  <c r="AD17" i="15"/>
  <c r="BT17" i="15"/>
  <c r="AR17" i="15"/>
  <c r="P17" i="15"/>
  <c r="CH17" i="15" s="1"/>
  <c r="BF39" i="14"/>
  <c r="BT79" i="14"/>
  <c r="AR81" i="14"/>
  <c r="P83" i="14"/>
  <c r="P80" i="14"/>
  <c r="BT84" i="14"/>
  <c r="BF79" i="14"/>
  <c r="AD81" i="14"/>
  <c r="BF84" i="14"/>
  <c r="AR79" i="14"/>
  <c r="P81" i="14"/>
  <c r="P82" i="14"/>
  <c r="CH82" i="14" s="1"/>
  <c r="BT82" i="14"/>
  <c r="AR84" i="14"/>
  <c r="AD79" i="14"/>
  <c r="BT40" i="14"/>
  <c r="BF82" i="14"/>
  <c r="AD84" i="14"/>
  <c r="P79" i="14"/>
  <c r="BT80" i="14"/>
  <c r="AR82" i="14"/>
  <c r="P84" i="14"/>
  <c r="BT85" i="14"/>
  <c r="BF80" i="14"/>
  <c r="AD82" i="14"/>
  <c r="BT36" i="14"/>
  <c r="BF85" i="14"/>
  <c r="AR80" i="14"/>
  <c r="BT83" i="14"/>
  <c r="AR85" i="14"/>
  <c r="AD80" i="14"/>
  <c r="BF83" i="14"/>
  <c r="AD85" i="14"/>
  <c r="BT81" i="14"/>
  <c r="AR83" i="14"/>
  <c r="P85" i="14"/>
  <c r="CH85" i="14" s="1"/>
  <c r="BF81" i="14"/>
  <c r="AD83" i="14"/>
  <c r="BF41" i="14"/>
  <c r="P36" i="14"/>
  <c r="AR39" i="14"/>
  <c r="BF40" i="14"/>
  <c r="P41" i="14"/>
  <c r="AR40" i="14"/>
  <c r="BF36" i="14"/>
  <c r="BT39" i="14"/>
  <c r="P37" i="14"/>
  <c r="BT38" i="14"/>
  <c r="BT37" i="14"/>
  <c r="AD39" i="14"/>
  <c r="AD38" i="14"/>
  <c r="BT41" i="14"/>
  <c r="AD42" i="14"/>
  <c r="P42" i="14"/>
  <c r="P40" i="14"/>
  <c r="AR37" i="14"/>
  <c r="AD41" i="14"/>
  <c r="AR38" i="14"/>
  <c r="AD40" i="14"/>
  <c r="P39" i="14"/>
  <c r="BF38" i="14"/>
  <c r="AD36" i="14"/>
  <c r="BF37" i="14"/>
  <c r="AR36" i="14"/>
  <c r="P38" i="14"/>
  <c r="AR41" i="14"/>
  <c r="AD37" i="14"/>
  <c r="BT42" i="14"/>
  <c r="BF42" i="14"/>
  <c r="AR42" i="14"/>
  <c r="BT152" i="13"/>
  <c r="AD110" i="13"/>
  <c r="AD147" i="13"/>
  <c r="P106" i="13"/>
  <c r="AD153" i="13"/>
  <c r="AR148" i="13"/>
  <c r="P155" i="13"/>
  <c r="BF114" i="13"/>
  <c r="BF154" i="13"/>
  <c r="AD150" i="13"/>
  <c r="BT148" i="13"/>
  <c r="BF108" i="13"/>
  <c r="AD152" i="13"/>
  <c r="P156" i="13"/>
  <c r="CH156" i="13" s="1"/>
  <c r="BF105" i="13"/>
  <c r="BT157" i="13"/>
  <c r="P151" i="13"/>
  <c r="BT155" i="13"/>
  <c r="AD154" i="13"/>
  <c r="P110" i="13"/>
  <c r="AR111" i="13"/>
  <c r="AD109" i="13"/>
  <c r="BT103" i="13"/>
  <c r="P148" i="13"/>
  <c r="P112" i="13"/>
  <c r="AD148" i="13"/>
  <c r="BF149" i="13"/>
  <c r="BT104" i="13"/>
  <c r="BF112" i="13"/>
  <c r="AR112" i="13"/>
  <c r="P146" i="13"/>
  <c r="BT106" i="13"/>
  <c r="P147" i="13"/>
  <c r="AR155" i="13"/>
  <c r="P108" i="13"/>
  <c r="BF148" i="13"/>
  <c r="BT110" i="13"/>
  <c r="BT146" i="13"/>
  <c r="BF151" i="13"/>
  <c r="BT154" i="13"/>
  <c r="BT149" i="13"/>
  <c r="BT147" i="13"/>
  <c r="AR154" i="13"/>
  <c r="P154" i="13"/>
  <c r="AR146" i="13"/>
  <c r="AD113" i="13"/>
  <c r="BF150" i="13"/>
  <c r="BF103" i="13"/>
  <c r="AR152" i="13"/>
  <c r="P111" i="13"/>
  <c r="BT153" i="13"/>
  <c r="AR110" i="13"/>
  <c r="BF109" i="13"/>
  <c r="BT108" i="13"/>
  <c r="BF155" i="13"/>
  <c r="AD104" i="13"/>
  <c r="AR103" i="13"/>
  <c r="BT150" i="13"/>
  <c r="AR107" i="13"/>
  <c r="AD105" i="13"/>
  <c r="P105" i="13"/>
  <c r="AR149" i="13"/>
  <c r="BF146" i="13"/>
  <c r="AD107" i="13"/>
  <c r="AR151" i="13"/>
  <c r="AD111" i="13"/>
  <c r="BF113" i="13"/>
  <c r="BF107" i="13"/>
  <c r="BT113" i="13"/>
  <c r="P113" i="13"/>
  <c r="AR156" i="13"/>
  <c r="AD106" i="13"/>
  <c r="BF111" i="13"/>
  <c r="AR113" i="13"/>
  <c r="P153" i="13"/>
  <c r="P150" i="13"/>
  <c r="AR108" i="13"/>
  <c r="BF157" i="13"/>
  <c r="BF153" i="13"/>
  <c r="AR109" i="13"/>
  <c r="AR153" i="13"/>
  <c r="BT112" i="13"/>
  <c r="BF152" i="13"/>
  <c r="P152" i="13"/>
  <c r="CH152" i="13" s="1"/>
  <c r="BT105" i="13"/>
  <c r="AD151" i="13"/>
  <c r="AD157" i="13"/>
  <c r="AR114" i="13"/>
  <c r="AD103" i="13"/>
  <c r="AR147" i="13"/>
  <c r="P109" i="13"/>
  <c r="P107" i="13"/>
  <c r="AR105" i="13"/>
  <c r="AR104" i="13"/>
  <c r="P103" i="13"/>
  <c r="CH103" i="13" s="1"/>
  <c r="P157" i="13"/>
  <c r="AD114" i="13"/>
  <c r="P114" i="13"/>
  <c r="AD156" i="13"/>
  <c r="BF104" i="13"/>
  <c r="BT151" i="13"/>
  <c r="P104" i="13"/>
  <c r="CH104" i="13" s="1"/>
  <c r="BT111" i="13"/>
  <c r="BF110" i="13"/>
  <c r="AD155" i="13"/>
  <c r="BF147" i="13"/>
  <c r="AD108" i="13"/>
  <c r="AD149" i="13"/>
  <c r="BF106" i="13"/>
  <c r="AR106" i="13"/>
  <c r="BT156" i="13"/>
  <c r="AD112" i="13"/>
  <c r="BF156" i="13"/>
  <c r="AR157" i="13"/>
  <c r="BT107" i="13"/>
  <c r="BT109" i="13"/>
  <c r="BT114" i="13"/>
  <c r="AR150" i="13"/>
  <c r="P149" i="13"/>
  <c r="AD146" i="13"/>
  <c r="AD158" i="13"/>
  <c r="P158" i="13"/>
  <c r="P115" i="13"/>
  <c r="BF158" i="13"/>
  <c r="AR158" i="13"/>
  <c r="BT115" i="13"/>
  <c r="AD115" i="13"/>
  <c r="BT158" i="13"/>
  <c r="BF115" i="13"/>
  <c r="AR115" i="13"/>
  <c r="AR62" i="12"/>
  <c r="AR71" i="12"/>
  <c r="BF62" i="12"/>
  <c r="P73" i="12"/>
  <c r="CH73" i="12" s="1"/>
  <c r="AR70" i="12"/>
  <c r="BT64" i="12"/>
  <c r="P62" i="12"/>
  <c r="BT65" i="12"/>
  <c r="AR63" i="12"/>
  <c r="BF63" i="12"/>
  <c r="P67" i="12"/>
  <c r="AR68" i="12"/>
  <c r="P72" i="12"/>
  <c r="AR66" i="12"/>
  <c r="AD71" i="12"/>
  <c r="BF69" i="12"/>
  <c r="P64" i="12"/>
  <c r="BF71" i="12"/>
  <c r="P70" i="12"/>
  <c r="AD69" i="12"/>
  <c r="AD65" i="12"/>
  <c r="BF73" i="12"/>
  <c r="AD68" i="12"/>
  <c r="P69" i="12"/>
  <c r="AR69" i="12"/>
  <c r="BT68" i="12"/>
  <c r="BT69" i="12"/>
  <c r="AR65" i="12"/>
  <c r="BF72" i="12"/>
  <c r="P66" i="12"/>
  <c r="CH66" i="12" s="1"/>
  <c r="P63" i="12"/>
  <c r="BF65" i="12"/>
  <c r="AD70" i="12"/>
  <c r="AD67" i="12"/>
  <c r="P65" i="12"/>
  <c r="AD63" i="12"/>
  <c r="BF64" i="12"/>
  <c r="BT62" i="12"/>
  <c r="BT66" i="12"/>
  <c r="AR67" i="12"/>
  <c r="BT70" i="12"/>
  <c r="BF66" i="12"/>
  <c r="P68" i="12"/>
  <c r="AR64" i="12"/>
  <c r="AD66" i="12"/>
  <c r="BF67" i="12"/>
  <c r="BT73" i="12"/>
  <c r="BT71" i="12"/>
  <c r="AD73" i="12"/>
  <c r="BT63" i="12"/>
  <c r="BT72" i="12"/>
  <c r="BF68" i="12"/>
  <c r="AD72" i="12"/>
  <c r="AD64" i="12"/>
  <c r="P71" i="12"/>
  <c r="AR72" i="12"/>
  <c r="AD62" i="12"/>
  <c r="BF70" i="12"/>
  <c r="AR73" i="12"/>
  <c r="BT67" i="12"/>
  <c r="BT88" i="12"/>
  <c r="AR92" i="12"/>
  <c r="P95" i="12"/>
  <c r="AD90" i="12"/>
  <c r="AR97" i="12"/>
  <c r="P94" i="12"/>
  <c r="AD98" i="12"/>
  <c r="BT90" i="12"/>
  <c r="P91" i="12"/>
  <c r="AD94" i="12"/>
  <c r="BT92" i="12"/>
  <c r="P98" i="12"/>
  <c r="CH98" i="12" s="1"/>
  <c r="P90" i="12"/>
  <c r="BT96" i="12"/>
  <c r="AR95" i="12"/>
  <c r="BF91" i="12"/>
  <c r="P92" i="12"/>
  <c r="AR88" i="12"/>
  <c r="AR89" i="12"/>
  <c r="BF88" i="12"/>
  <c r="BF94" i="12"/>
  <c r="P96" i="12"/>
  <c r="AD99" i="12"/>
  <c r="BT89" i="12"/>
  <c r="P89" i="12"/>
  <c r="BF96" i="12"/>
  <c r="AD89" i="12"/>
  <c r="P100" i="12"/>
  <c r="BT94" i="12"/>
  <c r="BT97" i="12"/>
  <c r="BT98" i="12"/>
  <c r="AD92" i="12"/>
  <c r="BF90" i="12"/>
  <c r="AD93" i="12"/>
  <c r="BT100" i="12"/>
  <c r="AR94" i="12"/>
  <c r="P93" i="12"/>
  <c r="BF97" i="12"/>
  <c r="BF99" i="12"/>
  <c r="BF95" i="12"/>
  <c r="AD95" i="12"/>
  <c r="AR91" i="12"/>
  <c r="BT93" i="12"/>
  <c r="AR98" i="12"/>
  <c r="P97" i="12"/>
  <c r="AR99" i="12"/>
  <c r="P88" i="12"/>
  <c r="AR96" i="12"/>
  <c r="AR90" i="12"/>
  <c r="BT99" i="12"/>
  <c r="BF92" i="12"/>
  <c r="BF93" i="12"/>
  <c r="BF98" i="12"/>
  <c r="P99" i="12"/>
  <c r="BF89" i="12"/>
  <c r="AD88" i="12"/>
  <c r="AR93" i="12"/>
  <c r="BT91" i="12"/>
  <c r="AD91" i="12"/>
  <c r="AD96" i="12"/>
  <c r="AD97" i="12"/>
  <c r="BT95" i="12"/>
  <c r="AD100" i="12"/>
  <c r="BT74" i="12"/>
  <c r="AR74" i="12"/>
  <c r="P74" i="12"/>
  <c r="CH74" i="12" s="1"/>
  <c r="BF100" i="12"/>
  <c r="AD74" i="12"/>
  <c r="AR100" i="12"/>
  <c r="BF74" i="12"/>
  <c r="M60" i="15"/>
  <c r="AA36" i="14"/>
  <c r="BQ36" i="14"/>
  <c r="BC36" i="14"/>
  <c r="AO60" i="15"/>
  <c r="BQ60" i="15"/>
  <c r="BC60" i="15"/>
  <c r="AA60" i="15"/>
  <c r="AO17" i="15"/>
  <c r="M17" i="15"/>
  <c r="BC17" i="15"/>
  <c r="AA17" i="15"/>
  <c r="BQ17" i="15"/>
  <c r="BQ81" i="14"/>
  <c r="AO83" i="14"/>
  <c r="M85" i="14"/>
  <c r="M83" i="14"/>
  <c r="CE83" i="14" s="1"/>
  <c r="BC81" i="14"/>
  <c r="AA83" i="14"/>
  <c r="BQ79" i="14"/>
  <c r="AO81" i="14"/>
  <c r="M82" i="14"/>
  <c r="BQ84" i="14"/>
  <c r="BC79" i="14"/>
  <c r="AA81" i="14"/>
  <c r="BC84" i="14"/>
  <c r="AO79" i="14"/>
  <c r="M81" i="14"/>
  <c r="BQ82" i="14"/>
  <c r="AO84" i="14"/>
  <c r="AA79" i="14"/>
  <c r="AA85" i="14"/>
  <c r="BC82" i="14"/>
  <c r="AA84" i="14"/>
  <c r="M79" i="14"/>
  <c r="M80" i="14"/>
  <c r="BQ80" i="14"/>
  <c r="AO82" i="14"/>
  <c r="M84" i="14"/>
  <c r="CE84" i="14" s="1"/>
  <c r="BC83" i="14"/>
  <c r="BQ85" i="14"/>
  <c r="BC80" i="14"/>
  <c r="AA82" i="14"/>
  <c r="BC85" i="14"/>
  <c r="AO80" i="14"/>
  <c r="BQ83" i="14"/>
  <c r="AO85" i="14"/>
  <c r="AA80" i="14"/>
  <c r="BQ37" i="14"/>
  <c r="AO40" i="14"/>
  <c r="M36" i="14"/>
  <c r="AO41" i="14"/>
  <c r="BQ39" i="14"/>
  <c r="BQ38" i="14"/>
  <c r="AO38" i="14"/>
  <c r="M40" i="14"/>
  <c r="BQ42" i="14"/>
  <c r="AA41" i="14"/>
  <c r="BQ41" i="14"/>
  <c r="AO42" i="14"/>
  <c r="M42" i="14"/>
  <c r="AA37" i="14"/>
  <c r="BQ40" i="14"/>
  <c r="AA40" i="14"/>
  <c r="AO36" i="14"/>
  <c r="M41" i="14"/>
  <c r="BC38" i="14"/>
  <c r="BC37" i="14"/>
  <c r="AA42" i="14"/>
  <c r="M37" i="14"/>
  <c r="BC39" i="14"/>
  <c r="AO39" i="14"/>
  <c r="M38" i="14"/>
  <c r="AA39" i="14"/>
  <c r="BC40" i="14"/>
  <c r="M39" i="14"/>
  <c r="AA38" i="14"/>
  <c r="BC41" i="14"/>
  <c r="AO37" i="14"/>
  <c r="BC42" i="14"/>
  <c r="M154" i="13"/>
  <c r="BQ154" i="13"/>
  <c r="AO104" i="13"/>
  <c r="BC104" i="13"/>
  <c r="AA106" i="13"/>
  <c r="M112" i="13"/>
  <c r="M103" i="13"/>
  <c r="AO110" i="13"/>
  <c r="AA111" i="13"/>
  <c r="BQ108" i="13"/>
  <c r="AO103" i="13"/>
  <c r="M108" i="13"/>
  <c r="CE108" i="13" s="1"/>
  <c r="BC155" i="13"/>
  <c r="BQ150" i="13"/>
  <c r="BC113" i="13"/>
  <c r="M114" i="13"/>
  <c r="AO106" i="13"/>
  <c r="BC146" i="13"/>
  <c r="AO152" i="13"/>
  <c r="AO151" i="13"/>
  <c r="BQ111" i="13"/>
  <c r="BC106" i="13"/>
  <c r="M111" i="13"/>
  <c r="AO107" i="13"/>
  <c r="BQ113" i="13"/>
  <c r="AA149" i="13"/>
  <c r="M113" i="13"/>
  <c r="AA104" i="13"/>
  <c r="M105" i="13"/>
  <c r="M106" i="13"/>
  <c r="CE106" i="13" s="1"/>
  <c r="BC114" i="13"/>
  <c r="AA150" i="13"/>
  <c r="AO156" i="13"/>
  <c r="BC107" i="13"/>
  <c r="AO148" i="13"/>
  <c r="M155" i="13"/>
  <c r="CE155" i="13" s="1"/>
  <c r="BC153" i="13"/>
  <c r="AA110" i="13"/>
  <c r="AA147" i="13"/>
  <c r="AO109" i="13"/>
  <c r="AO149" i="13"/>
  <c r="AO153" i="13"/>
  <c r="M147" i="13"/>
  <c r="BC152" i="13"/>
  <c r="AA157" i="13"/>
  <c r="AO112" i="13"/>
  <c r="BC150" i="13"/>
  <c r="AO155" i="13"/>
  <c r="AO114" i="13"/>
  <c r="BC157" i="13"/>
  <c r="BQ151" i="13"/>
  <c r="BQ106" i="13"/>
  <c r="BQ112" i="13"/>
  <c r="BQ114" i="13"/>
  <c r="BQ105" i="13"/>
  <c r="AO147" i="13"/>
  <c r="M146" i="13"/>
  <c r="M107" i="13"/>
  <c r="CE107" i="13" s="1"/>
  <c r="AO105" i="13"/>
  <c r="AA114" i="13"/>
  <c r="AO108" i="13"/>
  <c r="BQ103" i="13"/>
  <c r="BQ155" i="13"/>
  <c r="AA108" i="13"/>
  <c r="BQ149" i="13"/>
  <c r="BC151" i="13"/>
  <c r="AA113" i="13"/>
  <c r="BC148" i="13"/>
  <c r="M109" i="13"/>
  <c r="AA105" i="13"/>
  <c r="AA155" i="13"/>
  <c r="M104" i="13"/>
  <c r="BC110" i="13"/>
  <c r="BC103" i="13"/>
  <c r="BQ146" i="13"/>
  <c r="BC147" i="13"/>
  <c r="AO154" i="13"/>
  <c r="BC112" i="13"/>
  <c r="AA156" i="13"/>
  <c r="BQ156" i="13"/>
  <c r="BC156" i="13"/>
  <c r="BC149" i="13"/>
  <c r="M157" i="13"/>
  <c r="CE157" i="13" s="1"/>
  <c r="AA112" i="13"/>
  <c r="AO157" i="13"/>
  <c r="BQ153" i="13"/>
  <c r="BQ147" i="13"/>
  <c r="BC108" i="13"/>
  <c r="M149" i="13"/>
  <c r="BQ157" i="13"/>
  <c r="AA148" i="13"/>
  <c r="M151" i="13"/>
  <c r="BQ148" i="13"/>
  <c r="BQ152" i="13"/>
  <c r="BC109" i="13"/>
  <c r="BQ107" i="13"/>
  <c r="BQ109" i="13"/>
  <c r="M156" i="13"/>
  <c r="AA153" i="13"/>
  <c r="AO146" i="13"/>
  <c r="AO150" i="13"/>
  <c r="AA107" i="13"/>
  <c r="AA146" i="13"/>
  <c r="BC154" i="13"/>
  <c r="M150" i="13"/>
  <c r="CE150" i="13" s="1"/>
  <c r="M148" i="13"/>
  <c r="CE148" i="13" s="1"/>
  <c r="AA152" i="13"/>
  <c r="BC105" i="13"/>
  <c r="AA154" i="13"/>
  <c r="M110" i="13"/>
  <c r="AO111" i="13"/>
  <c r="M152" i="13"/>
  <c r="M153" i="13"/>
  <c r="AA109" i="13"/>
  <c r="BQ104" i="13"/>
  <c r="AA103" i="13"/>
  <c r="AO113" i="13"/>
  <c r="BQ110" i="13"/>
  <c r="AA151" i="13"/>
  <c r="BC111" i="13"/>
  <c r="BQ115" i="13"/>
  <c r="AO115" i="13"/>
  <c r="BC115" i="13"/>
  <c r="AA115" i="13"/>
  <c r="BC158" i="13"/>
  <c r="BQ158" i="13"/>
  <c r="AO158" i="13"/>
  <c r="AA158" i="13"/>
  <c r="M115" i="13"/>
  <c r="CE115" i="13" s="1"/>
  <c r="M158" i="13"/>
  <c r="CE158" i="13" s="1"/>
  <c r="AA66" i="12"/>
  <c r="M66" i="12"/>
  <c r="CE66" i="12" s="1"/>
  <c r="BC62" i="12"/>
  <c r="AA71" i="12"/>
  <c r="BQ72" i="12"/>
  <c r="AO67" i="12"/>
  <c r="AO62" i="12"/>
  <c r="BC69" i="12"/>
  <c r="AO64" i="12"/>
  <c r="AA67" i="12"/>
  <c r="AA68" i="12"/>
  <c r="AO69" i="12"/>
  <c r="M65" i="12"/>
  <c r="M69" i="12"/>
  <c r="AO72" i="12"/>
  <c r="BQ64" i="12"/>
  <c r="BQ69" i="12"/>
  <c r="M71" i="12"/>
  <c r="BQ73" i="12"/>
  <c r="AA72" i="12"/>
  <c r="BC73" i="12"/>
  <c r="AO63" i="12"/>
  <c r="M72" i="12"/>
  <c r="BQ66" i="12"/>
  <c r="BQ67" i="12"/>
  <c r="BC71" i="12"/>
  <c r="BQ70" i="12"/>
  <c r="BC63" i="12"/>
  <c r="AO65" i="12"/>
  <c r="BQ65" i="12"/>
  <c r="BQ71" i="12"/>
  <c r="AA64" i="12"/>
  <c r="M68" i="12"/>
  <c r="BQ63" i="12"/>
  <c r="M67" i="12"/>
  <c r="M73" i="12"/>
  <c r="AA70" i="12"/>
  <c r="M63" i="12"/>
  <c r="BC64" i="12"/>
  <c r="BC70" i="12"/>
  <c r="AA62" i="12"/>
  <c r="AA63" i="12"/>
  <c r="BC72" i="12"/>
  <c r="AO70" i="12"/>
  <c r="AA69" i="12"/>
  <c r="M70" i="12"/>
  <c r="AA73" i="12"/>
  <c r="AA65" i="12"/>
  <c r="M64" i="12"/>
  <c r="AO68" i="12"/>
  <c r="AO71" i="12"/>
  <c r="BC68" i="12"/>
  <c r="M62" i="12"/>
  <c r="BQ62" i="12"/>
  <c r="AO66" i="12"/>
  <c r="AO73" i="12"/>
  <c r="BC66" i="12"/>
  <c r="BC65" i="12"/>
  <c r="BC67" i="12"/>
  <c r="BQ68" i="12"/>
  <c r="AA90" i="12"/>
  <c r="AO95" i="12"/>
  <c r="BQ88" i="12"/>
  <c r="M88" i="12"/>
  <c r="M92" i="12"/>
  <c r="BQ92" i="12"/>
  <c r="BC91" i="12"/>
  <c r="M91" i="12"/>
  <c r="CE91" i="12" s="1"/>
  <c r="AA94" i="12"/>
  <c r="M90" i="12"/>
  <c r="BC95" i="12"/>
  <c r="M94" i="12"/>
  <c r="CE94" i="12" s="1"/>
  <c r="AA98" i="12"/>
  <c r="M98" i="12"/>
  <c r="CE98" i="12" s="1"/>
  <c r="BQ96" i="12"/>
  <c r="BC96" i="12"/>
  <c r="AA91" i="12"/>
  <c r="AO97" i="12"/>
  <c r="BC90" i="12"/>
  <c r="AA89" i="12"/>
  <c r="AO92" i="12"/>
  <c r="M97" i="12"/>
  <c r="AA93" i="12"/>
  <c r="M96" i="12"/>
  <c r="M100" i="12"/>
  <c r="BC89" i="12"/>
  <c r="BQ90" i="12"/>
  <c r="AA99" i="12"/>
  <c r="M93" i="12"/>
  <c r="CE93" i="12" s="1"/>
  <c r="AO99" i="12"/>
  <c r="AO96" i="12"/>
  <c r="BC97" i="12"/>
  <c r="BC99" i="12"/>
  <c r="BQ91" i="12"/>
  <c r="AO94" i="12"/>
  <c r="AA88" i="12"/>
  <c r="BC88" i="12"/>
  <c r="AO90" i="12"/>
  <c r="AA92" i="12"/>
  <c r="BQ94" i="12"/>
  <c r="BQ95" i="12"/>
  <c r="AO93" i="12"/>
  <c r="AA96" i="12"/>
  <c r="M99" i="12"/>
  <c r="M89" i="12"/>
  <c r="BQ98" i="12"/>
  <c r="AO91" i="12"/>
  <c r="BQ99" i="12"/>
  <c r="AO89" i="12"/>
  <c r="BQ93" i="12"/>
  <c r="AO98" i="12"/>
  <c r="AA97" i="12"/>
  <c r="BC94" i="12"/>
  <c r="BC92" i="12"/>
  <c r="BQ89" i="12"/>
  <c r="BC98" i="12"/>
  <c r="AO88" i="12"/>
  <c r="BC93" i="12"/>
  <c r="BQ97" i="12"/>
  <c r="M95" i="12"/>
  <c r="CE95" i="12" s="1"/>
  <c r="AA95" i="12"/>
  <c r="AO74" i="12"/>
  <c r="BC100" i="12"/>
  <c r="M74" i="12"/>
  <c r="AO100" i="12"/>
  <c r="BC74" i="12"/>
  <c r="BQ100" i="12"/>
  <c r="AA74" i="12"/>
  <c r="BQ74" i="12"/>
  <c r="AA100" i="12"/>
  <c r="N60" i="15"/>
  <c r="BD60" i="15"/>
  <c r="DJ60" i="15" s="1"/>
  <c r="AP60" i="15"/>
  <c r="DF60" i="15" s="1"/>
  <c r="AB60" i="15"/>
  <c r="DB60" i="15" s="1"/>
  <c r="BR60" i="15"/>
  <c r="DN60" i="15" s="1"/>
  <c r="BD17" i="15"/>
  <c r="DJ17" i="15" s="1"/>
  <c r="AB17" i="15"/>
  <c r="DB17" i="15" s="1"/>
  <c r="AP17" i="15"/>
  <c r="DF17" i="15" s="1"/>
  <c r="N17" i="15"/>
  <c r="BR17" i="15"/>
  <c r="DN17" i="15" s="1"/>
  <c r="BD81" i="14"/>
  <c r="DJ81" i="14" s="1"/>
  <c r="AB83" i="14"/>
  <c r="DB83" i="14" s="1"/>
  <c r="BD38" i="14"/>
  <c r="DJ38" i="14" s="1"/>
  <c r="BR79" i="14"/>
  <c r="DN79" i="14" s="1"/>
  <c r="AP81" i="14"/>
  <c r="DF81" i="14" s="1"/>
  <c r="N83" i="14"/>
  <c r="BR84" i="14"/>
  <c r="DN84" i="14" s="1"/>
  <c r="BD79" i="14"/>
  <c r="DJ79" i="14" s="1"/>
  <c r="AB81" i="14"/>
  <c r="DB81" i="14" s="1"/>
  <c r="BD84" i="14"/>
  <c r="DJ84" i="14" s="1"/>
  <c r="AP79" i="14"/>
  <c r="DF79" i="14" s="1"/>
  <c r="N81" i="14"/>
  <c r="BR82" i="14"/>
  <c r="DN82" i="14" s="1"/>
  <c r="AP84" i="14"/>
  <c r="DF84" i="14" s="1"/>
  <c r="AB79" i="14"/>
  <c r="DB79" i="14" s="1"/>
  <c r="BR39" i="14"/>
  <c r="DN39" i="14" s="1"/>
  <c r="BD82" i="14"/>
  <c r="DJ82" i="14" s="1"/>
  <c r="AB84" i="14"/>
  <c r="DB84" i="14" s="1"/>
  <c r="N79" i="14"/>
  <c r="N82" i="14"/>
  <c r="BR80" i="14"/>
  <c r="DN80" i="14" s="1"/>
  <c r="AP82" i="14"/>
  <c r="DF82" i="14" s="1"/>
  <c r="N84" i="14"/>
  <c r="N80" i="14"/>
  <c r="BR85" i="14"/>
  <c r="DN85" i="14" s="1"/>
  <c r="BD80" i="14"/>
  <c r="DJ80" i="14" s="1"/>
  <c r="AB82" i="14"/>
  <c r="DB82" i="14" s="1"/>
  <c r="BD85" i="14"/>
  <c r="DJ85" i="14" s="1"/>
  <c r="AP80" i="14"/>
  <c r="DF80" i="14" s="1"/>
  <c r="BR83" i="14"/>
  <c r="DN83" i="14" s="1"/>
  <c r="AP85" i="14"/>
  <c r="DF85" i="14" s="1"/>
  <c r="AB80" i="14"/>
  <c r="DB80" i="14" s="1"/>
  <c r="BD83" i="14"/>
  <c r="DJ83" i="14" s="1"/>
  <c r="AB85" i="14"/>
  <c r="DB85" i="14" s="1"/>
  <c r="BR81" i="14"/>
  <c r="DN81" i="14" s="1"/>
  <c r="AP83" i="14"/>
  <c r="DF83" i="14" s="1"/>
  <c r="N85" i="14"/>
  <c r="N40" i="14"/>
  <c r="BD39" i="14"/>
  <c r="DJ39" i="14" s="1"/>
  <c r="AB40" i="14"/>
  <c r="DB40" i="14" s="1"/>
  <c r="BR42" i="14"/>
  <c r="DN42" i="14" s="1"/>
  <c r="BR38" i="14"/>
  <c r="DN38" i="14" s="1"/>
  <c r="BR37" i="14"/>
  <c r="DN37" i="14" s="1"/>
  <c r="BR36" i="14"/>
  <c r="DN36" i="14" s="1"/>
  <c r="N38" i="14"/>
  <c r="AP42" i="14"/>
  <c r="DF42" i="14" s="1"/>
  <c r="AB37" i="14"/>
  <c r="DB37" i="14" s="1"/>
  <c r="AB36" i="14"/>
  <c r="DB36" i="14" s="1"/>
  <c r="AB38" i="14"/>
  <c r="DB38" i="14" s="1"/>
  <c r="BR40" i="14"/>
  <c r="DN40" i="14" s="1"/>
  <c r="N41" i="14"/>
  <c r="AP37" i="14"/>
  <c r="DF37" i="14" s="1"/>
  <c r="BR41" i="14"/>
  <c r="DN41" i="14" s="1"/>
  <c r="AB39" i="14"/>
  <c r="DB39" i="14" s="1"/>
  <c r="AB42" i="14"/>
  <c r="DB42" i="14" s="1"/>
  <c r="AP41" i="14"/>
  <c r="DF41" i="14" s="1"/>
  <c r="N39" i="14"/>
  <c r="AP39" i="14"/>
  <c r="DF39" i="14" s="1"/>
  <c r="AP38" i="14"/>
  <c r="DF38" i="14" s="1"/>
  <c r="BD37" i="14"/>
  <c r="DJ37" i="14" s="1"/>
  <c r="N36" i="14"/>
  <c r="BD36" i="14"/>
  <c r="DJ36" i="14" s="1"/>
  <c r="N37" i="14"/>
  <c r="AP40" i="14"/>
  <c r="DF40" i="14" s="1"/>
  <c r="BD41" i="14"/>
  <c r="DJ41" i="14" s="1"/>
  <c r="AB41" i="14"/>
  <c r="DB41" i="14" s="1"/>
  <c r="BD40" i="14"/>
  <c r="DJ40" i="14" s="1"/>
  <c r="AP36" i="14"/>
  <c r="DF36" i="14" s="1"/>
  <c r="N42" i="14"/>
  <c r="BD42" i="14"/>
  <c r="DJ42" i="14" s="1"/>
  <c r="AB103" i="13"/>
  <c r="DB103" i="13" s="1"/>
  <c r="BR110" i="13"/>
  <c r="DN110" i="13" s="1"/>
  <c r="AB151" i="13"/>
  <c r="DB151" i="13" s="1"/>
  <c r="N151" i="13"/>
  <c r="BR103" i="13"/>
  <c r="DN103" i="13" s="1"/>
  <c r="N112" i="13"/>
  <c r="BD157" i="13"/>
  <c r="DJ157" i="13" s="1"/>
  <c r="BR149" i="13"/>
  <c r="DN149" i="13" s="1"/>
  <c r="N154" i="13"/>
  <c r="BR154" i="13"/>
  <c r="DN154" i="13" s="1"/>
  <c r="AB113" i="13"/>
  <c r="DB113" i="13" s="1"/>
  <c r="BR157" i="13"/>
  <c r="DN157" i="13" s="1"/>
  <c r="BD104" i="13"/>
  <c r="DJ104" i="13" s="1"/>
  <c r="AP155" i="13"/>
  <c r="DF155" i="13" s="1"/>
  <c r="BD103" i="13"/>
  <c r="DJ103" i="13" s="1"/>
  <c r="BR107" i="13"/>
  <c r="DN107" i="13" s="1"/>
  <c r="AB149" i="13"/>
  <c r="DB149" i="13" s="1"/>
  <c r="N148" i="13"/>
  <c r="AP110" i="13"/>
  <c r="DF110" i="13" s="1"/>
  <c r="AB111" i="13"/>
  <c r="DB111" i="13" s="1"/>
  <c r="BR108" i="13"/>
  <c r="DN108" i="13" s="1"/>
  <c r="AP103" i="13"/>
  <c r="DF103" i="13" s="1"/>
  <c r="N114" i="13"/>
  <c r="BR111" i="13"/>
  <c r="DN111" i="13" s="1"/>
  <c r="BR150" i="13"/>
  <c r="DN150" i="13" s="1"/>
  <c r="BD113" i="13"/>
  <c r="DJ113" i="13" s="1"/>
  <c r="AB147" i="13"/>
  <c r="DB147" i="13" s="1"/>
  <c r="BD146" i="13"/>
  <c r="DJ146" i="13" s="1"/>
  <c r="AP151" i="13"/>
  <c r="DF151" i="13" s="1"/>
  <c r="N111" i="13"/>
  <c r="AP113" i="13"/>
  <c r="DF113" i="13" s="1"/>
  <c r="AP107" i="13"/>
  <c r="DF107" i="13" s="1"/>
  <c r="BR113" i="13"/>
  <c r="DN113" i="13" s="1"/>
  <c r="N113" i="13"/>
  <c r="AB106" i="13"/>
  <c r="DB106" i="13" s="1"/>
  <c r="N106" i="13"/>
  <c r="AB110" i="13"/>
  <c r="DB110" i="13" s="1"/>
  <c r="BD107" i="13"/>
  <c r="DJ107" i="13" s="1"/>
  <c r="N155" i="13"/>
  <c r="AP156" i="13"/>
  <c r="DF156" i="13" s="1"/>
  <c r="BD153" i="13"/>
  <c r="DJ153" i="13" s="1"/>
  <c r="AP109" i="13"/>
  <c r="DF109" i="13" s="1"/>
  <c r="AP153" i="13"/>
  <c r="DF153" i="13" s="1"/>
  <c r="N147" i="13"/>
  <c r="BD152" i="13"/>
  <c r="DJ152" i="13" s="1"/>
  <c r="BD150" i="13"/>
  <c r="DJ150" i="13" s="1"/>
  <c r="BR155" i="13"/>
  <c r="DN155" i="13" s="1"/>
  <c r="AP112" i="13"/>
  <c r="DF112" i="13" s="1"/>
  <c r="BR114" i="13"/>
  <c r="DN114" i="13" s="1"/>
  <c r="AB157" i="13"/>
  <c r="DB157" i="13" s="1"/>
  <c r="AP114" i="13"/>
  <c r="DF114" i="13" s="1"/>
  <c r="AB105" i="13"/>
  <c r="DB105" i="13" s="1"/>
  <c r="BR106" i="13"/>
  <c r="DN106" i="13" s="1"/>
  <c r="BR146" i="13"/>
  <c r="DN146" i="13" s="1"/>
  <c r="AP149" i="13"/>
  <c r="DF149" i="13" s="1"/>
  <c r="BR112" i="13"/>
  <c r="DN112" i="13" s="1"/>
  <c r="AB156" i="13"/>
  <c r="DB156" i="13" s="1"/>
  <c r="AP147" i="13"/>
  <c r="DF147" i="13" s="1"/>
  <c r="N107" i="13"/>
  <c r="AP105" i="13"/>
  <c r="DF105" i="13" s="1"/>
  <c r="AB114" i="13"/>
  <c r="DB114" i="13" s="1"/>
  <c r="BD156" i="13"/>
  <c r="DJ156" i="13" s="1"/>
  <c r="AP108" i="13"/>
  <c r="DF108" i="13" s="1"/>
  <c r="BR147" i="13"/>
  <c r="DN147" i="13" s="1"/>
  <c r="N103" i="13"/>
  <c r="BD151" i="13"/>
  <c r="DJ151" i="13" s="1"/>
  <c r="AB146" i="13"/>
  <c r="DB146" i="13" s="1"/>
  <c r="N146" i="13"/>
  <c r="N109" i="13"/>
  <c r="AP104" i="13"/>
  <c r="DF104" i="13" s="1"/>
  <c r="BR151" i="13"/>
  <c r="DN151" i="13" s="1"/>
  <c r="N104" i="13"/>
  <c r="BD110" i="13"/>
  <c r="DJ110" i="13" s="1"/>
  <c r="AB155" i="13"/>
  <c r="DB155" i="13" s="1"/>
  <c r="BD109" i="13"/>
  <c r="DJ109" i="13" s="1"/>
  <c r="BD147" i="13"/>
  <c r="DJ147" i="13" s="1"/>
  <c r="AP154" i="13"/>
  <c r="DF154" i="13" s="1"/>
  <c r="AP146" i="13"/>
  <c r="DF146" i="13" s="1"/>
  <c r="AP152" i="13"/>
  <c r="DF152" i="13" s="1"/>
  <c r="BD148" i="13"/>
  <c r="DJ148" i="13" s="1"/>
  <c r="BR156" i="13"/>
  <c r="DN156" i="13" s="1"/>
  <c r="BR105" i="13"/>
  <c r="DN105" i="13" s="1"/>
  <c r="BD149" i="13"/>
  <c r="DJ149" i="13" s="1"/>
  <c r="AP106" i="13"/>
  <c r="DF106" i="13" s="1"/>
  <c r="AB112" i="13"/>
  <c r="DB112" i="13" s="1"/>
  <c r="AP157" i="13"/>
  <c r="DF157" i="13" s="1"/>
  <c r="BR153" i="13"/>
  <c r="DN153" i="13" s="1"/>
  <c r="BD108" i="13"/>
  <c r="DJ108" i="13" s="1"/>
  <c r="AB108" i="13"/>
  <c r="DB108" i="13" s="1"/>
  <c r="N157" i="13"/>
  <c r="N149" i="13"/>
  <c r="BD106" i="13"/>
  <c r="DJ106" i="13" s="1"/>
  <c r="AB104" i="13"/>
  <c r="DB104" i="13" s="1"/>
  <c r="N105" i="13"/>
  <c r="AB107" i="13"/>
  <c r="DB107" i="13" s="1"/>
  <c r="AB148" i="13"/>
  <c r="DB148" i="13" s="1"/>
  <c r="BR148" i="13"/>
  <c r="DN148" i="13" s="1"/>
  <c r="BR152" i="13"/>
  <c r="DN152" i="13" s="1"/>
  <c r="BR109" i="13"/>
  <c r="DN109" i="13" s="1"/>
  <c r="N156" i="13"/>
  <c r="AB153" i="13"/>
  <c r="DB153" i="13" s="1"/>
  <c r="N108" i="13"/>
  <c r="AP148" i="13"/>
  <c r="DF148" i="13" s="1"/>
  <c r="BD112" i="13"/>
  <c r="DJ112" i="13" s="1"/>
  <c r="AP150" i="13"/>
  <c r="DF150" i="13" s="1"/>
  <c r="BD114" i="13"/>
  <c r="DJ114" i="13" s="1"/>
  <c r="BD154" i="13"/>
  <c r="DJ154" i="13" s="1"/>
  <c r="BD155" i="13"/>
  <c r="DJ155" i="13" s="1"/>
  <c r="N150" i="13"/>
  <c r="AB152" i="13"/>
  <c r="DB152" i="13" s="1"/>
  <c r="BD105" i="13"/>
  <c r="DJ105" i="13" s="1"/>
  <c r="AB154" i="13"/>
  <c r="DB154" i="13" s="1"/>
  <c r="BD111" i="13"/>
  <c r="DJ111" i="13" s="1"/>
  <c r="N110" i="13"/>
  <c r="AP111" i="13"/>
  <c r="DF111" i="13" s="1"/>
  <c r="N152" i="13"/>
  <c r="N153" i="13"/>
  <c r="AB150" i="13"/>
  <c r="DB150" i="13" s="1"/>
  <c r="AB109" i="13"/>
  <c r="DB109" i="13" s="1"/>
  <c r="BR104" i="13"/>
  <c r="DN104" i="13" s="1"/>
  <c r="N115" i="13"/>
  <c r="N158" i="13"/>
  <c r="BR115" i="13"/>
  <c r="DN115" i="13" s="1"/>
  <c r="BD115" i="13"/>
  <c r="DJ115" i="13" s="1"/>
  <c r="AP158" i="13"/>
  <c r="DF158" i="13" s="1"/>
  <c r="AB115" i="13"/>
  <c r="DB115" i="13" s="1"/>
  <c r="BD158" i="13"/>
  <c r="DJ158" i="13" s="1"/>
  <c r="BR158" i="13"/>
  <c r="DN158" i="13" s="1"/>
  <c r="AP115" i="13"/>
  <c r="DF115" i="13" s="1"/>
  <c r="AB158" i="13"/>
  <c r="DB158" i="13" s="1"/>
  <c r="BR65" i="12"/>
  <c r="DN65" i="12" s="1"/>
  <c r="BR70" i="12"/>
  <c r="DN70" i="12" s="1"/>
  <c r="BR63" i="12"/>
  <c r="DN63" i="12" s="1"/>
  <c r="AB63" i="12"/>
  <c r="DB63" i="12" s="1"/>
  <c r="AP66" i="12"/>
  <c r="DF66" i="12" s="1"/>
  <c r="BD68" i="12"/>
  <c r="DJ68" i="12" s="1"/>
  <c r="AP72" i="12"/>
  <c r="DF72" i="12" s="1"/>
  <c r="BD62" i="12"/>
  <c r="DJ62" i="12" s="1"/>
  <c r="AP62" i="12"/>
  <c r="DF62" i="12" s="1"/>
  <c r="BD69" i="12"/>
  <c r="DJ69" i="12" s="1"/>
  <c r="BD72" i="12"/>
  <c r="DJ72" i="12" s="1"/>
  <c r="N64" i="12"/>
  <c r="BR69" i="12"/>
  <c r="DN69" i="12" s="1"/>
  <c r="BD65" i="12"/>
  <c r="DJ65" i="12" s="1"/>
  <c r="BR73" i="12"/>
  <c r="DN73" i="12" s="1"/>
  <c r="AB68" i="12"/>
  <c r="DB68" i="12" s="1"/>
  <c r="AP68" i="12"/>
  <c r="DF68" i="12" s="1"/>
  <c r="AB73" i="12"/>
  <c r="DB73" i="12" s="1"/>
  <c r="AB65" i="12"/>
  <c r="DB65" i="12" s="1"/>
  <c r="N71" i="12"/>
  <c r="BR67" i="12"/>
  <c r="DN67" i="12" s="1"/>
  <c r="BR71" i="12"/>
  <c r="DN71" i="12" s="1"/>
  <c r="BR72" i="12"/>
  <c r="DN72" i="12" s="1"/>
  <c r="N65" i="12"/>
  <c r="N72" i="12"/>
  <c r="BD67" i="12"/>
  <c r="DJ67" i="12" s="1"/>
  <c r="N73" i="12"/>
  <c r="BD70" i="12"/>
  <c r="DJ70" i="12" s="1"/>
  <c r="AB67" i="12"/>
  <c r="DB67" i="12" s="1"/>
  <c r="AP71" i="12"/>
  <c r="DF71" i="12" s="1"/>
  <c r="AB62" i="12"/>
  <c r="DB62" i="12" s="1"/>
  <c r="AP70" i="12"/>
  <c r="DF70" i="12" s="1"/>
  <c r="BD64" i="12"/>
  <c r="DJ64" i="12" s="1"/>
  <c r="BD63" i="12"/>
  <c r="DJ63" i="12" s="1"/>
  <c r="BR62" i="12"/>
  <c r="DN62" i="12" s="1"/>
  <c r="AP65" i="12"/>
  <c r="DF65" i="12" s="1"/>
  <c r="N67" i="12"/>
  <c r="BR66" i="12"/>
  <c r="DN66" i="12" s="1"/>
  <c r="AB71" i="12"/>
  <c r="DB71" i="12" s="1"/>
  <c r="AB69" i="12"/>
  <c r="DB69" i="12" s="1"/>
  <c r="N66" i="12"/>
  <c r="AP64" i="12"/>
  <c r="DF64" i="12" s="1"/>
  <c r="BR64" i="12"/>
  <c r="DN64" i="12" s="1"/>
  <c r="N62" i="12"/>
  <c r="AB72" i="12"/>
  <c r="DB72" i="12" s="1"/>
  <c r="BD73" i="12"/>
  <c r="DJ73" i="12" s="1"/>
  <c r="BR68" i="12"/>
  <c r="DN68" i="12" s="1"/>
  <c r="AB64" i="12"/>
  <c r="DB64" i="12" s="1"/>
  <c r="N63" i="12"/>
  <c r="AB70" i="12"/>
  <c r="DB70" i="12" s="1"/>
  <c r="N69" i="12"/>
  <c r="BD71" i="12"/>
  <c r="DJ71" i="12" s="1"/>
  <c r="AP67" i="12"/>
  <c r="DF67" i="12" s="1"/>
  <c r="N68" i="12"/>
  <c r="AP73" i="12"/>
  <c r="DF73" i="12" s="1"/>
  <c r="AP63" i="12"/>
  <c r="DF63" i="12" s="1"/>
  <c r="AP69" i="12"/>
  <c r="DF69" i="12" s="1"/>
  <c r="N70" i="12"/>
  <c r="BD66" i="12"/>
  <c r="DJ66" i="12" s="1"/>
  <c r="AB66" i="12"/>
  <c r="DB66" i="12" s="1"/>
  <c r="BR96" i="12"/>
  <c r="DN96" i="12" s="1"/>
  <c r="AP93" i="12"/>
  <c r="DF93" i="12" s="1"/>
  <c r="N90" i="12"/>
  <c r="BR88" i="12"/>
  <c r="DN88" i="12" s="1"/>
  <c r="N95" i="12"/>
  <c r="N92" i="12"/>
  <c r="N88" i="12"/>
  <c r="N96" i="12"/>
  <c r="N98" i="12"/>
  <c r="N91" i="12"/>
  <c r="N94" i="12"/>
  <c r="AB90" i="12"/>
  <c r="DB90" i="12" s="1"/>
  <c r="AB94" i="12"/>
  <c r="DB94" i="12" s="1"/>
  <c r="AP95" i="12"/>
  <c r="DF95" i="12" s="1"/>
  <c r="BD95" i="12"/>
  <c r="DJ95" i="12" s="1"/>
  <c r="BR92" i="12"/>
  <c r="DN92" i="12" s="1"/>
  <c r="AB98" i="12"/>
  <c r="DB98" i="12" s="1"/>
  <c r="BD91" i="12"/>
  <c r="DJ91" i="12" s="1"/>
  <c r="BR94" i="12"/>
  <c r="DN94" i="12" s="1"/>
  <c r="AP99" i="12"/>
  <c r="DF99" i="12" s="1"/>
  <c r="BD88" i="12"/>
  <c r="DJ88" i="12" s="1"/>
  <c r="BD94" i="12"/>
  <c r="DJ94" i="12" s="1"/>
  <c r="BR98" i="12"/>
  <c r="DN98" i="12" s="1"/>
  <c r="BR89" i="12"/>
  <c r="DN89" i="12" s="1"/>
  <c r="AP88" i="12"/>
  <c r="DF88" i="12" s="1"/>
  <c r="BD97" i="12"/>
  <c r="DJ97" i="12" s="1"/>
  <c r="BD93" i="12"/>
  <c r="DJ93" i="12" s="1"/>
  <c r="BD98" i="12"/>
  <c r="DJ98" i="12" s="1"/>
  <c r="BR97" i="12"/>
  <c r="DN97" i="12" s="1"/>
  <c r="AP94" i="12"/>
  <c r="DF94" i="12" s="1"/>
  <c r="BD89" i="12"/>
  <c r="DJ89" i="12" s="1"/>
  <c r="AB97" i="12"/>
  <c r="DB97" i="12" s="1"/>
  <c r="N99" i="12"/>
  <c r="N97" i="12"/>
  <c r="N93" i="12"/>
  <c r="BR91" i="12"/>
  <c r="DN91" i="12" s="1"/>
  <c r="AB96" i="12"/>
  <c r="DB96" i="12" s="1"/>
  <c r="AP89" i="12"/>
  <c r="DF89" i="12" s="1"/>
  <c r="N89" i="12"/>
  <c r="AB91" i="12"/>
  <c r="DB91" i="12" s="1"/>
  <c r="AB89" i="12"/>
  <c r="DB89" i="12" s="1"/>
  <c r="AP92" i="12"/>
  <c r="DF92" i="12" s="1"/>
  <c r="BD99" i="12"/>
  <c r="DJ99" i="12" s="1"/>
  <c r="AB93" i="12"/>
  <c r="DB93" i="12" s="1"/>
  <c r="AB99" i="12"/>
  <c r="DB99" i="12" s="1"/>
  <c r="BD90" i="12"/>
  <c r="DJ90" i="12" s="1"/>
  <c r="AP90" i="12"/>
  <c r="DF90" i="12" s="1"/>
  <c r="AP91" i="12"/>
  <c r="DF91" i="12" s="1"/>
  <c r="BD96" i="12"/>
  <c r="DJ96" i="12" s="1"/>
  <c r="AP96" i="12"/>
  <c r="DF96" i="12" s="1"/>
  <c r="AB92" i="12"/>
  <c r="DB92" i="12" s="1"/>
  <c r="BR95" i="12"/>
  <c r="DN95" i="12" s="1"/>
  <c r="AP97" i="12"/>
  <c r="DF97" i="12" s="1"/>
  <c r="AP98" i="12"/>
  <c r="DF98" i="12" s="1"/>
  <c r="BR99" i="12"/>
  <c r="DN99" i="12" s="1"/>
  <c r="BR90" i="12"/>
  <c r="DN90" i="12" s="1"/>
  <c r="BR93" i="12"/>
  <c r="DN93" i="12" s="1"/>
  <c r="N100" i="12"/>
  <c r="BD92" i="12"/>
  <c r="DJ92" i="12" s="1"/>
  <c r="AB95" i="12"/>
  <c r="DB95" i="12" s="1"/>
  <c r="AP100" i="12"/>
  <c r="DF100" i="12" s="1"/>
  <c r="AB88" i="12"/>
  <c r="DB88" i="12" s="1"/>
  <c r="BD100" i="12"/>
  <c r="DJ100" i="12" s="1"/>
  <c r="AP74" i="12"/>
  <c r="DF74" i="12" s="1"/>
  <c r="AB100" i="12"/>
  <c r="DB100" i="12" s="1"/>
  <c r="N74" i="12"/>
  <c r="AB74" i="12"/>
  <c r="DB74" i="12" s="1"/>
  <c r="BR100" i="12"/>
  <c r="DN100" i="12" s="1"/>
  <c r="BD74" i="12"/>
  <c r="DJ74" i="12" s="1"/>
  <c r="BR74" i="12"/>
  <c r="DN74" i="12" s="1"/>
  <c r="O60" i="15"/>
  <c r="CG60" i="15" s="1"/>
  <c r="BE60" i="15"/>
  <c r="AC60" i="15"/>
  <c r="BS60" i="15"/>
  <c r="AQ60" i="15"/>
  <c r="BS17" i="15"/>
  <c r="O17" i="15"/>
  <c r="AQ17" i="15"/>
  <c r="AC17" i="15"/>
  <c r="BE17" i="15"/>
  <c r="BE81" i="14"/>
  <c r="AC83" i="14"/>
  <c r="O37" i="14"/>
  <c r="BS81" i="14"/>
  <c r="BS79" i="14"/>
  <c r="AQ81" i="14"/>
  <c r="O83" i="14"/>
  <c r="O81" i="14"/>
  <c r="O79" i="14"/>
  <c r="BS84" i="14"/>
  <c r="BE79" i="14"/>
  <c r="AC81" i="14"/>
  <c r="O80" i="14"/>
  <c r="BE84" i="14"/>
  <c r="AQ79" i="14"/>
  <c r="O82" i="14"/>
  <c r="AC80" i="14"/>
  <c r="BS82" i="14"/>
  <c r="AQ84" i="14"/>
  <c r="AC79" i="14"/>
  <c r="BE82" i="14"/>
  <c r="AC84" i="14"/>
  <c r="O85" i="14"/>
  <c r="BS80" i="14"/>
  <c r="AQ82" i="14"/>
  <c r="O84" i="14"/>
  <c r="CG84" i="14" s="1"/>
  <c r="AQ83" i="14"/>
  <c r="BS85" i="14"/>
  <c r="BE80" i="14"/>
  <c r="AC82" i="14"/>
  <c r="BE85" i="14"/>
  <c r="AQ80" i="14"/>
  <c r="BS83" i="14"/>
  <c r="AQ85" i="14"/>
  <c r="BE83" i="14"/>
  <c r="AC85" i="14"/>
  <c r="BS42" i="14"/>
  <c r="AQ38" i="14"/>
  <c r="BE40" i="14"/>
  <c r="BS38" i="14"/>
  <c r="AQ41" i="14"/>
  <c r="AQ36" i="14"/>
  <c r="BS40" i="14"/>
  <c r="BS39" i="14"/>
  <c r="O41" i="14"/>
  <c r="BS37" i="14"/>
  <c r="BE36" i="14"/>
  <c r="O39" i="14"/>
  <c r="AC42" i="14"/>
  <c r="AC39" i="14"/>
  <c r="AQ39" i="14"/>
  <c r="AQ40" i="14"/>
  <c r="AC41" i="14"/>
  <c r="AC36" i="14"/>
  <c r="BS41" i="14"/>
  <c r="BE37" i="14"/>
  <c r="O42" i="14"/>
  <c r="O38" i="14"/>
  <c r="BE39" i="14"/>
  <c r="BE38" i="14"/>
  <c r="AQ42" i="14"/>
  <c r="AC37" i="14"/>
  <c r="AC40" i="14"/>
  <c r="O36" i="14"/>
  <c r="AC38" i="14"/>
  <c r="BS36" i="14"/>
  <c r="BE41" i="14"/>
  <c r="O40" i="14"/>
  <c r="AQ37" i="14"/>
  <c r="BE42" i="14"/>
  <c r="AC154" i="13"/>
  <c r="O110" i="13"/>
  <c r="AQ111" i="13"/>
  <c r="AQ150" i="13"/>
  <c r="BS111" i="13"/>
  <c r="AC109" i="13"/>
  <c r="AC105" i="13"/>
  <c r="BS104" i="13"/>
  <c r="AQ155" i="13"/>
  <c r="BS109" i="13"/>
  <c r="AQ112" i="13"/>
  <c r="O114" i="13"/>
  <c r="AC103" i="13"/>
  <c r="BE112" i="13"/>
  <c r="BS110" i="13"/>
  <c r="AQ104" i="13"/>
  <c r="O151" i="13"/>
  <c r="BE104" i="13"/>
  <c r="BE105" i="13"/>
  <c r="BS146" i="13"/>
  <c r="BE151" i="13"/>
  <c r="BS154" i="13"/>
  <c r="BS157" i="13"/>
  <c r="BS149" i="13"/>
  <c r="BS147" i="13"/>
  <c r="AQ154" i="13"/>
  <c r="O154" i="13"/>
  <c r="AC113" i="13"/>
  <c r="BE150" i="13"/>
  <c r="BE103" i="13"/>
  <c r="O108" i="13"/>
  <c r="AQ152" i="13"/>
  <c r="BE155" i="13"/>
  <c r="BS153" i="13"/>
  <c r="BE109" i="13"/>
  <c r="BS114" i="13"/>
  <c r="AC111" i="13"/>
  <c r="BE106" i="13"/>
  <c r="BS108" i="13"/>
  <c r="AQ103" i="13"/>
  <c r="BS150" i="13"/>
  <c r="O105" i="13"/>
  <c r="BE146" i="13"/>
  <c r="BS112" i="13"/>
  <c r="AQ146" i="13"/>
  <c r="AC107" i="13"/>
  <c r="AQ151" i="13"/>
  <c r="AC150" i="13"/>
  <c r="O112" i="13"/>
  <c r="CG112" i="13" s="1"/>
  <c r="AQ110" i="13"/>
  <c r="BS113" i="13"/>
  <c r="O113" i="13"/>
  <c r="CG113" i="13" s="1"/>
  <c r="AC106" i="13"/>
  <c r="BE111" i="13"/>
  <c r="BE113" i="13"/>
  <c r="O106" i="13"/>
  <c r="CG106" i="13" s="1"/>
  <c r="O155" i="13"/>
  <c r="O153" i="13"/>
  <c r="CG153" i="13" s="1"/>
  <c r="O111" i="13"/>
  <c r="AQ108" i="13"/>
  <c r="BE157" i="13"/>
  <c r="BE153" i="13"/>
  <c r="AQ109" i="13"/>
  <c r="AQ153" i="13"/>
  <c r="O147" i="13"/>
  <c r="BE152" i="13"/>
  <c r="O152" i="13"/>
  <c r="BS105" i="13"/>
  <c r="O146" i="13"/>
  <c r="AC151" i="13"/>
  <c r="AQ156" i="13"/>
  <c r="AQ149" i="13"/>
  <c r="AQ107" i="13"/>
  <c r="AC157" i="13"/>
  <c r="AQ114" i="13"/>
  <c r="BS103" i="13"/>
  <c r="BS155" i="13"/>
  <c r="AC114" i="13"/>
  <c r="BS106" i="13"/>
  <c r="BE148" i="13"/>
  <c r="AQ147" i="13"/>
  <c r="O107" i="13"/>
  <c r="AQ105" i="13"/>
  <c r="O103" i="13"/>
  <c r="BE107" i="13"/>
  <c r="AC156" i="13"/>
  <c r="BS151" i="13"/>
  <c r="O104" i="13"/>
  <c r="BE110" i="13"/>
  <c r="AC155" i="13"/>
  <c r="BE147" i="13"/>
  <c r="AC149" i="13"/>
  <c r="O109" i="13"/>
  <c r="BS156" i="13"/>
  <c r="BE149" i="13"/>
  <c r="AQ106" i="13"/>
  <c r="BE156" i="13"/>
  <c r="AQ157" i="13"/>
  <c r="BE108" i="13"/>
  <c r="BS107" i="13"/>
  <c r="AQ113" i="13"/>
  <c r="O157" i="13"/>
  <c r="CG157" i="13" s="1"/>
  <c r="O149" i="13"/>
  <c r="AC146" i="13"/>
  <c r="AC112" i="13"/>
  <c r="AC152" i="13"/>
  <c r="AC104" i="13"/>
  <c r="AC148" i="13"/>
  <c r="O150" i="13"/>
  <c r="BS148" i="13"/>
  <c r="BS152" i="13"/>
  <c r="AC110" i="13"/>
  <c r="AC147" i="13"/>
  <c r="AC108" i="13"/>
  <c r="AC153" i="13"/>
  <c r="AQ148" i="13"/>
  <c r="BE114" i="13"/>
  <c r="BE154" i="13"/>
  <c r="O148" i="13"/>
  <c r="CG148" i="13" s="1"/>
  <c r="O156" i="13"/>
  <c r="AC158" i="13"/>
  <c r="O158" i="13"/>
  <c r="CG158" i="13" s="1"/>
  <c r="O115" i="13"/>
  <c r="BE115" i="13"/>
  <c r="AQ158" i="13"/>
  <c r="BS115" i="13"/>
  <c r="AC115" i="13"/>
  <c r="BE158" i="13"/>
  <c r="AQ115" i="13"/>
  <c r="BS158" i="13"/>
  <c r="BS68" i="12"/>
  <c r="BS69" i="12"/>
  <c r="O64" i="12"/>
  <c r="BE64" i="12"/>
  <c r="BE63" i="12"/>
  <c r="O67" i="12"/>
  <c r="BE67" i="12"/>
  <c r="BE73" i="12"/>
  <c r="AQ62" i="12"/>
  <c r="BE62" i="12"/>
  <c r="BS62" i="12"/>
  <c r="AC62" i="12"/>
  <c r="O65" i="12"/>
  <c r="AC69" i="12"/>
  <c r="O62" i="12"/>
  <c r="AQ64" i="12"/>
  <c r="BS73" i="12"/>
  <c r="AC72" i="12"/>
  <c r="AC66" i="12"/>
  <c r="AQ68" i="12"/>
  <c r="AQ72" i="12"/>
  <c r="O68" i="12"/>
  <c r="BS65" i="12"/>
  <c r="O73" i="12"/>
  <c r="CG73" i="12" s="1"/>
  <c r="BE69" i="12"/>
  <c r="BS64" i="12"/>
  <c r="BE65" i="12"/>
  <c r="AC73" i="12"/>
  <c r="O72" i="12"/>
  <c r="AC70" i="12"/>
  <c r="BE66" i="12"/>
  <c r="AC65" i="12"/>
  <c r="BE72" i="12"/>
  <c r="AQ67" i="12"/>
  <c r="AC68" i="12"/>
  <c r="AQ71" i="12"/>
  <c r="AQ65" i="12"/>
  <c r="O66" i="12"/>
  <c r="O70" i="12"/>
  <c r="CG70" i="12" s="1"/>
  <c r="BE71" i="12"/>
  <c r="BE70" i="12"/>
  <c r="AC71" i="12"/>
  <c r="AQ73" i="12"/>
  <c r="AQ63" i="12"/>
  <c r="BS63" i="12"/>
  <c r="AC63" i="12"/>
  <c r="O63" i="12"/>
  <c r="BS67" i="12"/>
  <c r="BE68" i="12"/>
  <c r="BS66" i="12"/>
  <c r="BS70" i="12"/>
  <c r="BS72" i="12"/>
  <c r="AQ66" i="12"/>
  <c r="AQ69" i="12"/>
  <c r="O71" i="12"/>
  <c r="AC64" i="12"/>
  <c r="BS71" i="12"/>
  <c r="O69" i="12"/>
  <c r="CG69" i="12" s="1"/>
  <c r="AQ70" i="12"/>
  <c r="AC67" i="12"/>
  <c r="BS88" i="12"/>
  <c r="AQ99" i="12"/>
  <c r="O95" i="12"/>
  <c r="AQ91" i="12"/>
  <c r="AQ95" i="12"/>
  <c r="AQ89" i="12"/>
  <c r="AC98" i="12"/>
  <c r="O90" i="12"/>
  <c r="AC90" i="12"/>
  <c r="O91" i="12"/>
  <c r="AC94" i="12"/>
  <c r="BS97" i="12"/>
  <c r="BS93" i="12"/>
  <c r="BS92" i="12"/>
  <c r="BE91" i="12"/>
  <c r="O98" i="12"/>
  <c r="O94" i="12"/>
  <c r="CG94" i="12" s="1"/>
  <c r="BS96" i="12"/>
  <c r="AC88" i="12"/>
  <c r="AQ93" i="12"/>
  <c r="BS98" i="12"/>
  <c r="O92" i="12"/>
  <c r="AQ90" i="12"/>
  <c r="BE90" i="12"/>
  <c r="AC96" i="12"/>
  <c r="AQ96" i="12"/>
  <c r="BE95" i="12"/>
  <c r="O88" i="12"/>
  <c r="CG88" i="12" s="1"/>
  <c r="BS95" i="12"/>
  <c r="O99" i="12"/>
  <c r="CG99" i="12" s="1"/>
  <c r="BS99" i="12"/>
  <c r="O97" i="12"/>
  <c r="BS91" i="12"/>
  <c r="BE94" i="12"/>
  <c r="AQ98" i="12"/>
  <c r="AC95" i="12"/>
  <c r="BE89" i="12"/>
  <c r="AC93" i="12"/>
  <c r="BE93" i="12"/>
  <c r="AQ94" i="12"/>
  <c r="AC97" i="12"/>
  <c r="BE98" i="12"/>
  <c r="O100" i="12"/>
  <c r="CG100" i="12" s="1"/>
  <c r="AQ97" i="12"/>
  <c r="AC92" i="12"/>
  <c r="AQ88" i="12"/>
  <c r="O93" i="12"/>
  <c r="BE97" i="12"/>
  <c r="BE88" i="12"/>
  <c r="BS90" i="12"/>
  <c r="BE92" i="12"/>
  <c r="BS89" i="12"/>
  <c r="BE96" i="12"/>
  <c r="O89" i="12"/>
  <c r="CG89" i="12" s="1"/>
  <c r="BE99" i="12"/>
  <c r="AQ92" i="12"/>
  <c r="AC91" i="12"/>
  <c r="AC99" i="12"/>
  <c r="AC89" i="12"/>
  <c r="O96" i="12"/>
  <c r="CG96" i="12" s="1"/>
  <c r="BS94" i="12"/>
  <c r="AC100" i="12"/>
  <c r="AQ74" i="12"/>
  <c r="O74" i="12"/>
  <c r="AC74" i="12"/>
  <c r="BS100" i="12"/>
  <c r="BE74" i="12"/>
  <c r="BS74" i="12"/>
  <c r="AQ100" i="12"/>
  <c r="BE100" i="12"/>
  <c r="AU60" i="15"/>
  <c r="DH60" i="15" s="1"/>
  <c r="AG60" i="15"/>
  <c r="DD60" i="15" s="1"/>
  <c r="BI60" i="15"/>
  <c r="DL60" i="15" s="1"/>
  <c r="S60" i="15"/>
  <c r="BW60" i="15"/>
  <c r="DP60" i="15" s="1"/>
  <c r="BW17" i="15"/>
  <c r="DP17" i="15" s="1"/>
  <c r="BI17" i="15"/>
  <c r="DL17" i="15" s="1"/>
  <c r="AU17" i="15"/>
  <c r="DH17" i="15" s="1"/>
  <c r="AG17" i="15"/>
  <c r="DD17" i="15" s="1"/>
  <c r="S17" i="15"/>
  <c r="BW84" i="14"/>
  <c r="DP84" i="14" s="1"/>
  <c r="BI79" i="14"/>
  <c r="DL79" i="14" s="1"/>
  <c r="AG81" i="14"/>
  <c r="DD81" i="14" s="1"/>
  <c r="AU38" i="14"/>
  <c r="DH38" i="14" s="1"/>
  <c r="BI84" i="14"/>
  <c r="DL84" i="14" s="1"/>
  <c r="AU79" i="14"/>
  <c r="DH79" i="14" s="1"/>
  <c r="S81" i="14"/>
  <c r="AU40" i="14"/>
  <c r="DH40" i="14" s="1"/>
  <c r="BW82" i="14"/>
  <c r="DP82" i="14" s="1"/>
  <c r="AU84" i="14"/>
  <c r="DH84" i="14" s="1"/>
  <c r="AG79" i="14"/>
  <c r="DD79" i="14" s="1"/>
  <c r="BI82" i="14"/>
  <c r="DL82" i="14" s="1"/>
  <c r="AG84" i="14"/>
  <c r="DD84" i="14" s="1"/>
  <c r="S79" i="14"/>
  <c r="AU81" i="14"/>
  <c r="DH81" i="14" s="1"/>
  <c r="BW80" i="14"/>
  <c r="DP80" i="14" s="1"/>
  <c r="AU82" i="14"/>
  <c r="DH82" i="14" s="1"/>
  <c r="S84" i="14"/>
  <c r="BW79" i="14"/>
  <c r="DP79" i="14" s="1"/>
  <c r="BW85" i="14"/>
  <c r="DP85" i="14" s="1"/>
  <c r="BI80" i="14"/>
  <c r="DL80" i="14" s="1"/>
  <c r="AG82" i="14"/>
  <c r="DD82" i="14" s="1"/>
  <c r="S41" i="14"/>
  <c r="BI85" i="14"/>
  <c r="DL85" i="14" s="1"/>
  <c r="AU80" i="14"/>
  <c r="DH80" i="14" s="1"/>
  <c r="S82" i="14"/>
  <c r="BW83" i="14"/>
  <c r="DP83" i="14" s="1"/>
  <c r="AU85" i="14"/>
  <c r="DH85" i="14" s="1"/>
  <c r="AG80" i="14"/>
  <c r="DD80" i="14" s="1"/>
  <c r="S80" i="14"/>
  <c r="BI83" i="14"/>
  <c r="DL83" i="14" s="1"/>
  <c r="AG85" i="14"/>
  <c r="DD85" i="14" s="1"/>
  <c r="BW81" i="14"/>
  <c r="DP81" i="14" s="1"/>
  <c r="AU83" i="14"/>
  <c r="DH83" i="14" s="1"/>
  <c r="S85" i="14"/>
  <c r="AG39" i="14"/>
  <c r="DD39" i="14" s="1"/>
  <c r="S83" i="14"/>
  <c r="BI81" i="14"/>
  <c r="DL81" i="14" s="1"/>
  <c r="AG83" i="14"/>
  <c r="DD83" i="14" s="1"/>
  <c r="AU39" i="14"/>
  <c r="DH39" i="14" s="1"/>
  <c r="BW38" i="14"/>
  <c r="DP38" i="14" s="1"/>
  <c r="BW37" i="14"/>
  <c r="DP37" i="14" s="1"/>
  <c r="BW36" i="14"/>
  <c r="DP36" i="14" s="1"/>
  <c r="S39" i="14"/>
  <c r="S42" i="14"/>
  <c r="AG40" i="14"/>
  <c r="DD40" i="14" s="1"/>
  <c r="BI39" i="14"/>
  <c r="DL39" i="14" s="1"/>
  <c r="BW42" i="14"/>
  <c r="DP42" i="14" s="1"/>
  <c r="BW40" i="14"/>
  <c r="DP40" i="14" s="1"/>
  <c r="AG36" i="14"/>
  <c r="DD36" i="14" s="1"/>
  <c r="BW41" i="14"/>
  <c r="DP41" i="14" s="1"/>
  <c r="AG38" i="14"/>
  <c r="DD38" i="14" s="1"/>
  <c r="AU36" i="14"/>
  <c r="DH36" i="14" s="1"/>
  <c r="BW39" i="14"/>
  <c r="DP39" i="14" s="1"/>
  <c r="S37" i="14"/>
  <c r="S36" i="14"/>
  <c r="S40" i="14"/>
  <c r="BI37" i="14"/>
  <c r="DL37" i="14" s="1"/>
  <c r="BI36" i="14"/>
  <c r="DL36" i="14" s="1"/>
  <c r="AG41" i="14"/>
  <c r="DD41" i="14" s="1"/>
  <c r="AU41" i="14"/>
  <c r="DH41" i="14" s="1"/>
  <c r="S38" i="14"/>
  <c r="AG37" i="14"/>
  <c r="DD37" i="14" s="1"/>
  <c r="BI41" i="14"/>
  <c r="DL41" i="14" s="1"/>
  <c r="BI40" i="14"/>
  <c r="DL40" i="14" s="1"/>
  <c r="AG42" i="14"/>
  <c r="DD42" i="14" s="1"/>
  <c r="BI38" i="14"/>
  <c r="DL38" i="14" s="1"/>
  <c r="AU37" i="14"/>
  <c r="DH37" i="14" s="1"/>
  <c r="AU42" i="14"/>
  <c r="DH42" i="14" s="1"/>
  <c r="BI42" i="14"/>
  <c r="DL42" i="14" s="1"/>
  <c r="AU110" i="13"/>
  <c r="DH110" i="13" s="1"/>
  <c r="BI149" i="13"/>
  <c r="DL149" i="13" s="1"/>
  <c r="S114" i="13"/>
  <c r="AG156" i="13"/>
  <c r="DD156" i="13" s="1"/>
  <c r="AG111" i="13"/>
  <c r="DD111" i="13" s="1"/>
  <c r="BI113" i="13"/>
  <c r="DL113" i="13" s="1"/>
  <c r="AG149" i="13"/>
  <c r="DD149" i="13" s="1"/>
  <c r="BI151" i="13"/>
  <c r="DL151" i="13" s="1"/>
  <c r="AG146" i="13"/>
  <c r="DD146" i="13" s="1"/>
  <c r="BI106" i="13"/>
  <c r="DL106" i="13" s="1"/>
  <c r="S111" i="13"/>
  <c r="AG147" i="13"/>
  <c r="DD147" i="13" s="1"/>
  <c r="BI147" i="13"/>
  <c r="DL147" i="13" s="1"/>
  <c r="AU106" i="13"/>
  <c r="DH106" i="13" s="1"/>
  <c r="AU107" i="13"/>
  <c r="DH107" i="13" s="1"/>
  <c r="AU150" i="13"/>
  <c r="DH150" i="13" s="1"/>
  <c r="BW156" i="13"/>
  <c r="DP156" i="13" s="1"/>
  <c r="AG148" i="13"/>
  <c r="DD148" i="13" s="1"/>
  <c r="S106" i="13"/>
  <c r="BW114" i="13"/>
  <c r="DP114" i="13" s="1"/>
  <c r="S155" i="13"/>
  <c r="S149" i="13"/>
  <c r="AU156" i="13"/>
  <c r="DH156" i="13" s="1"/>
  <c r="BW103" i="13"/>
  <c r="DP103" i="13" s="1"/>
  <c r="AU157" i="13"/>
  <c r="DH157" i="13" s="1"/>
  <c r="AG104" i="13"/>
  <c r="DD104" i="13" s="1"/>
  <c r="BW107" i="13"/>
  <c r="DP107" i="13" s="1"/>
  <c r="AG110" i="13"/>
  <c r="DD110" i="13" s="1"/>
  <c r="AU149" i="13"/>
  <c r="DH149" i="13" s="1"/>
  <c r="AU153" i="13"/>
  <c r="DH153" i="13" s="1"/>
  <c r="BI152" i="13"/>
  <c r="DL152" i="13" s="1"/>
  <c r="BI107" i="13"/>
  <c r="DL107" i="13" s="1"/>
  <c r="AU148" i="13"/>
  <c r="DH148" i="13" s="1"/>
  <c r="AG157" i="13"/>
  <c r="DD157" i="13" s="1"/>
  <c r="BW104" i="13"/>
  <c r="DP104" i="13" s="1"/>
  <c r="AU111" i="13"/>
  <c r="DH111" i="13" s="1"/>
  <c r="S112" i="13"/>
  <c r="AG154" i="13"/>
  <c r="DD154" i="13" s="1"/>
  <c r="BW106" i="13"/>
  <c r="DP106" i="13" s="1"/>
  <c r="S110" i="13"/>
  <c r="BI114" i="13"/>
  <c r="DL114" i="13" s="1"/>
  <c r="AU147" i="13"/>
  <c r="DH147" i="13" s="1"/>
  <c r="S146" i="13"/>
  <c r="AU105" i="13"/>
  <c r="DH105" i="13" s="1"/>
  <c r="AG114" i="13"/>
  <c r="DD114" i="13" s="1"/>
  <c r="S151" i="13"/>
  <c r="AG155" i="13"/>
  <c r="DD155" i="13" s="1"/>
  <c r="BW150" i="13"/>
  <c r="DP150" i="13" s="1"/>
  <c r="BW146" i="13"/>
  <c r="DP146" i="13" s="1"/>
  <c r="AG108" i="13"/>
  <c r="DD108" i="13" s="1"/>
  <c r="AU155" i="13"/>
  <c r="DH155" i="13" s="1"/>
  <c r="BI148" i="13"/>
  <c r="DL148" i="13" s="1"/>
  <c r="S109" i="13"/>
  <c r="AG105" i="13"/>
  <c r="DD105" i="13" s="1"/>
  <c r="S103" i="13"/>
  <c r="BW110" i="13"/>
  <c r="DP110" i="13" s="1"/>
  <c r="S148" i="13"/>
  <c r="BI110" i="13"/>
  <c r="DL110" i="13" s="1"/>
  <c r="BW151" i="13"/>
  <c r="DP151" i="13" s="1"/>
  <c r="BW147" i="13"/>
  <c r="DP147" i="13" s="1"/>
  <c r="AU154" i="13"/>
  <c r="DH154" i="13" s="1"/>
  <c r="BI146" i="13"/>
  <c r="DL146" i="13" s="1"/>
  <c r="S157" i="13"/>
  <c r="AG112" i="13"/>
  <c r="DD112" i="13" s="1"/>
  <c r="BI156" i="13"/>
  <c r="DL156" i="13" s="1"/>
  <c r="AG106" i="13"/>
  <c r="DD106" i="13" s="1"/>
  <c r="AU103" i="13"/>
  <c r="DH103" i="13" s="1"/>
  <c r="BI103" i="13"/>
  <c r="DL103" i="13" s="1"/>
  <c r="BI108" i="13"/>
  <c r="DL108" i="13" s="1"/>
  <c r="BW113" i="13"/>
  <c r="DP113" i="13" s="1"/>
  <c r="AU146" i="13"/>
  <c r="DH146" i="13" s="1"/>
  <c r="AU152" i="13"/>
  <c r="DH152" i="13" s="1"/>
  <c r="AU151" i="13"/>
  <c r="DH151" i="13" s="1"/>
  <c r="S113" i="13"/>
  <c r="BW149" i="13"/>
  <c r="DP149" i="13" s="1"/>
  <c r="BW153" i="13"/>
  <c r="DP153" i="13" s="1"/>
  <c r="BI109" i="13"/>
  <c r="DL109" i="13" s="1"/>
  <c r="AG113" i="13"/>
  <c r="DD113" i="13" s="1"/>
  <c r="BI150" i="13"/>
  <c r="DL150" i="13" s="1"/>
  <c r="S150" i="13"/>
  <c r="BW108" i="13"/>
  <c r="DP108" i="13" s="1"/>
  <c r="BW148" i="13"/>
  <c r="DP148" i="13" s="1"/>
  <c r="BW152" i="13"/>
  <c r="DP152" i="13" s="1"/>
  <c r="BI111" i="13"/>
  <c r="DL111" i="13" s="1"/>
  <c r="S105" i="13"/>
  <c r="S147" i="13"/>
  <c r="BW109" i="13"/>
  <c r="DP109" i="13" s="1"/>
  <c r="AG152" i="13"/>
  <c r="DD152" i="13" s="1"/>
  <c r="S156" i="13"/>
  <c r="AG153" i="13"/>
  <c r="DD153" i="13" s="1"/>
  <c r="AG107" i="13"/>
  <c r="DD107" i="13" s="1"/>
  <c r="BI154" i="13"/>
  <c r="DL154" i="13" s="1"/>
  <c r="S152" i="13"/>
  <c r="BI112" i="13"/>
  <c r="DL112" i="13" s="1"/>
  <c r="AU114" i="13"/>
  <c r="DH114" i="13" s="1"/>
  <c r="BW155" i="13"/>
  <c r="DP155" i="13" s="1"/>
  <c r="AU113" i="13"/>
  <c r="DH113" i="13" s="1"/>
  <c r="S108" i="13"/>
  <c r="S153" i="13"/>
  <c r="BI105" i="13"/>
  <c r="DL105" i="13" s="1"/>
  <c r="BW111" i="13"/>
  <c r="DP111" i="13" s="1"/>
  <c r="AG109" i="13"/>
  <c r="DD109" i="13" s="1"/>
  <c r="AU108" i="13"/>
  <c r="DH108" i="13" s="1"/>
  <c r="AG151" i="13"/>
  <c r="DD151" i="13" s="1"/>
  <c r="BI104" i="13"/>
  <c r="DL104" i="13" s="1"/>
  <c r="S104" i="13"/>
  <c r="BI153" i="13"/>
  <c r="DL153" i="13" s="1"/>
  <c r="AG103" i="13"/>
  <c r="DD103" i="13" s="1"/>
  <c r="BW112" i="13"/>
  <c r="DP112" i="13" s="1"/>
  <c r="BW105" i="13"/>
  <c r="DP105" i="13" s="1"/>
  <c r="AG150" i="13"/>
  <c r="DD150" i="13" s="1"/>
  <c r="BW157" i="13"/>
  <c r="DP157" i="13" s="1"/>
  <c r="BI155" i="13"/>
  <c r="DL155" i="13" s="1"/>
  <c r="BI157" i="13"/>
  <c r="DL157" i="13" s="1"/>
  <c r="AU109" i="13"/>
  <c r="DH109" i="13" s="1"/>
  <c r="S154" i="13"/>
  <c r="BW154" i="13"/>
  <c r="DP154" i="13" s="1"/>
  <c r="AU112" i="13"/>
  <c r="DH112" i="13" s="1"/>
  <c r="S107" i="13"/>
  <c r="AU104" i="13"/>
  <c r="DH104" i="13" s="1"/>
  <c r="BI115" i="13"/>
  <c r="DL115" i="13" s="1"/>
  <c r="AU115" i="13"/>
  <c r="DH115" i="13" s="1"/>
  <c r="S158" i="13"/>
  <c r="BI158" i="13"/>
  <c r="DL158" i="13" s="1"/>
  <c r="AG158" i="13"/>
  <c r="DD158" i="13" s="1"/>
  <c r="BW158" i="13"/>
  <c r="DP158" i="13" s="1"/>
  <c r="AG115" i="13"/>
  <c r="DD115" i="13" s="1"/>
  <c r="AU158" i="13"/>
  <c r="DH158" i="13" s="1"/>
  <c r="S115" i="13"/>
  <c r="BW115" i="13"/>
  <c r="DP115" i="13" s="1"/>
  <c r="BW62" i="12"/>
  <c r="DP62" i="12" s="1"/>
  <c r="AG72" i="12"/>
  <c r="DD72" i="12" s="1"/>
  <c r="AU62" i="12"/>
  <c r="DH62" i="12" s="1"/>
  <c r="AG69" i="12"/>
  <c r="DD69" i="12" s="1"/>
  <c r="AG65" i="12"/>
  <c r="DD65" i="12" s="1"/>
  <c r="AU63" i="12"/>
  <c r="DH63" i="12" s="1"/>
  <c r="BW66" i="12"/>
  <c r="DP66" i="12" s="1"/>
  <c r="AG67" i="12"/>
  <c r="DD67" i="12" s="1"/>
  <c r="BI72" i="12"/>
  <c r="DL72" i="12" s="1"/>
  <c r="AG73" i="12"/>
  <c r="DD73" i="12" s="1"/>
  <c r="AG62" i="12"/>
  <c r="DD62" i="12" s="1"/>
  <c r="AU68" i="12"/>
  <c r="DH68" i="12" s="1"/>
  <c r="BI62" i="12"/>
  <c r="DL62" i="12" s="1"/>
  <c r="AU67" i="12"/>
  <c r="DH67" i="12" s="1"/>
  <c r="AG63" i="12"/>
  <c r="DD63" i="12" s="1"/>
  <c r="S69" i="12"/>
  <c r="BW71" i="12"/>
  <c r="DP71" i="12" s="1"/>
  <c r="AG66" i="12"/>
  <c r="DD66" i="12" s="1"/>
  <c r="BW72" i="12"/>
  <c r="DP72" i="12" s="1"/>
  <c r="BW63" i="12"/>
  <c r="DP63" i="12" s="1"/>
  <c r="BI73" i="12"/>
  <c r="DL73" i="12" s="1"/>
  <c r="AU66" i="12"/>
  <c r="DH66" i="12" s="1"/>
  <c r="S64" i="12"/>
  <c r="S72" i="12"/>
  <c r="BI63" i="12"/>
  <c r="DL63" i="12" s="1"/>
  <c r="S67" i="12"/>
  <c r="AG71" i="12"/>
  <c r="DD71" i="12" s="1"/>
  <c r="BI67" i="12"/>
  <c r="DL67" i="12" s="1"/>
  <c r="AU71" i="12"/>
  <c r="DH71" i="12" s="1"/>
  <c r="AU69" i="12"/>
  <c r="DH69" i="12" s="1"/>
  <c r="AU64" i="12"/>
  <c r="DH64" i="12" s="1"/>
  <c r="AU70" i="12"/>
  <c r="DH70" i="12" s="1"/>
  <c r="S66" i="12"/>
  <c r="BW64" i="12"/>
  <c r="DP64" i="12" s="1"/>
  <c r="AU65" i="12"/>
  <c r="DH65" i="12" s="1"/>
  <c r="BI71" i="12"/>
  <c r="DL71" i="12" s="1"/>
  <c r="BI68" i="12"/>
  <c r="DL68" i="12" s="1"/>
  <c r="AU73" i="12"/>
  <c r="DH73" i="12" s="1"/>
  <c r="S63" i="12"/>
  <c r="BW67" i="12"/>
  <c r="DP67" i="12" s="1"/>
  <c r="AU72" i="12"/>
  <c r="DH72" i="12" s="1"/>
  <c r="S68" i="12"/>
  <c r="BW68" i="12"/>
  <c r="DP68" i="12" s="1"/>
  <c r="BI64" i="12"/>
  <c r="DL64" i="12" s="1"/>
  <c r="BW65" i="12"/>
  <c r="DP65" i="12" s="1"/>
  <c r="AG64" i="12"/>
  <c r="DD64" i="12" s="1"/>
  <c r="BI65" i="12"/>
  <c r="DL65" i="12" s="1"/>
  <c r="BI69" i="12"/>
  <c r="DL69" i="12" s="1"/>
  <c r="S73" i="12"/>
  <c r="BI70" i="12"/>
  <c r="DL70" i="12" s="1"/>
  <c r="BW73" i="12"/>
  <c r="DP73" i="12" s="1"/>
  <c r="BW69" i="12"/>
  <c r="DP69" i="12" s="1"/>
  <c r="AG68" i="12"/>
  <c r="DD68" i="12" s="1"/>
  <c r="BI66" i="12"/>
  <c r="DL66" i="12" s="1"/>
  <c r="S65" i="12"/>
  <c r="S71" i="12"/>
  <c r="BW70" i="12"/>
  <c r="DP70" i="12" s="1"/>
  <c r="S62" i="12"/>
  <c r="S70" i="12"/>
  <c r="AG70" i="12"/>
  <c r="DD70" i="12" s="1"/>
  <c r="S88" i="12"/>
  <c r="S90" i="12"/>
  <c r="AU90" i="12"/>
  <c r="DH90" i="12" s="1"/>
  <c r="AG94" i="12"/>
  <c r="DD94" i="12" s="1"/>
  <c r="BI99" i="12"/>
  <c r="DL99" i="12" s="1"/>
  <c r="AU88" i="12"/>
  <c r="DH88" i="12" s="1"/>
  <c r="BW92" i="12"/>
  <c r="DP92" i="12" s="1"/>
  <c r="S94" i="12"/>
  <c r="AU89" i="12"/>
  <c r="DH89" i="12" s="1"/>
  <c r="S98" i="12"/>
  <c r="BW88" i="12"/>
  <c r="DP88" i="12" s="1"/>
  <c r="S95" i="12"/>
  <c r="AG92" i="12"/>
  <c r="DD92" i="12" s="1"/>
  <c r="AG90" i="12"/>
  <c r="DD90" i="12" s="1"/>
  <c r="BI91" i="12"/>
  <c r="DL91" i="12" s="1"/>
  <c r="AU95" i="12"/>
  <c r="DH95" i="12" s="1"/>
  <c r="AG98" i="12"/>
  <c r="DD98" i="12" s="1"/>
  <c r="S96" i="12"/>
  <c r="BW96" i="12"/>
  <c r="DP96" i="12" s="1"/>
  <c r="BI98" i="12"/>
  <c r="DL98" i="12" s="1"/>
  <c r="AG97" i="12"/>
  <c r="DD97" i="12" s="1"/>
  <c r="BI93" i="12"/>
  <c r="DL93" i="12" s="1"/>
  <c r="BW97" i="12"/>
  <c r="DP97" i="12" s="1"/>
  <c r="BI95" i="12"/>
  <c r="DL95" i="12" s="1"/>
  <c r="AU93" i="12"/>
  <c r="DH93" i="12" s="1"/>
  <c r="S93" i="12"/>
  <c r="S91" i="12"/>
  <c r="AU94" i="12"/>
  <c r="DH94" i="12" s="1"/>
  <c r="AG95" i="12"/>
  <c r="DD95" i="12" s="1"/>
  <c r="S97" i="12"/>
  <c r="AU92" i="12"/>
  <c r="DH92" i="12" s="1"/>
  <c r="BW91" i="12"/>
  <c r="DP91" i="12" s="1"/>
  <c r="AU98" i="12"/>
  <c r="DH98" i="12" s="1"/>
  <c r="BW89" i="12"/>
  <c r="DP89" i="12" s="1"/>
  <c r="BW95" i="12"/>
  <c r="DP95" i="12" s="1"/>
  <c r="AG91" i="12"/>
  <c r="DD91" i="12" s="1"/>
  <c r="BI88" i="12"/>
  <c r="DL88" i="12" s="1"/>
  <c r="BI92" i="12"/>
  <c r="DL92" i="12" s="1"/>
  <c r="BI96" i="12"/>
  <c r="DL96" i="12" s="1"/>
  <c r="AG89" i="12"/>
  <c r="DD89" i="12" s="1"/>
  <c r="AU96" i="12"/>
  <c r="DH96" i="12" s="1"/>
  <c r="AG99" i="12"/>
  <c r="DD99" i="12" s="1"/>
  <c r="AG93" i="12"/>
  <c r="DD93" i="12" s="1"/>
  <c r="BI90" i="12"/>
  <c r="DL90" i="12" s="1"/>
  <c r="S92" i="12"/>
  <c r="S89" i="12"/>
  <c r="BI89" i="12"/>
  <c r="DL89" i="12" s="1"/>
  <c r="BW94" i="12"/>
  <c r="DP94" i="12" s="1"/>
  <c r="S100" i="12"/>
  <c r="AG88" i="12"/>
  <c r="DD88" i="12" s="1"/>
  <c r="BW99" i="12"/>
  <c r="DP99" i="12" s="1"/>
  <c r="BW98" i="12"/>
  <c r="DP98" i="12" s="1"/>
  <c r="AG96" i="12"/>
  <c r="DD96" i="12" s="1"/>
  <c r="AU91" i="12"/>
  <c r="DH91" i="12" s="1"/>
  <c r="S99" i="12"/>
  <c r="BW93" i="12"/>
  <c r="DP93" i="12" s="1"/>
  <c r="BI97" i="12"/>
  <c r="DL97" i="12" s="1"/>
  <c r="AU97" i="12"/>
  <c r="DH97" i="12" s="1"/>
  <c r="AU99" i="12"/>
  <c r="DH99" i="12" s="1"/>
  <c r="BI94" i="12"/>
  <c r="DL94" i="12" s="1"/>
  <c r="BW90" i="12"/>
  <c r="DP90" i="12" s="1"/>
  <c r="BW74" i="12"/>
  <c r="DP74" i="12" s="1"/>
  <c r="AG100" i="12"/>
  <c r="DD100" i="12" s="1"/>
  <c r="BI100" i="12"/>
  <c r="DL100" i="12" s="1"/>
  <c r="BI74" i="12"/>
  <c r="DL74" i="12" s="1"/>
  <c r="AU74" i="12"/>
  <c r="DH74" i="12" s="1"/>
  <c r="AU100" i="12"/>
  <c r="DH100" i="12" s="1"/>
  <c r="BW100" i="12"/>
  <c r="DP100" i="12" s="1"/>
  <c r="S74" i="12"/>
  <c r="AG74" i="12"/>
  <c r="DD74" i="12" s="1"/>
  <c r="BG60" i="15"/>
  <c r="AE60" i="15"/>
  <c r="BU60" i="15"/>
  <c r="AS60" i="15"/>
  <c r="Q60" i="15"/>
  <c r="BU17" i="15"/>
  <c r="AE17" i="15"/>
  <c r="Q17" i="15"/>
  <c r="BG17" i="15"/>
  <c r="AS17" i="15"/>
  <c r="BU79" i="14"/>
  <c r="AS81" i="14"/>
  <c r="Q83" i="14"/>
  <c r="BU84" i="14"/>
  <c r="BG79" i="14"/>
  <c r="AE81" i="14"/>
  <c r="BG84" i="14"/>
  <c r="AS79" i="14"/>
  <c r="Q81" i="14"/>
  <c r="BG81" i="14"/>
  <c r="BU82" i="14"/>
  <c r="AS84" i="14"/>
  <c r="AE79" i="14"/>
  <c r="Q80" i="14"/>
  <c r="BG82" i="14"/>
  <c r="AE84" i="14"/>
  <c r="Q79" i="14"/>
  <c r="Q82" i="14"/>
  <c r="CI82" i="14" s="1"/>
  <c r="BU80" i="14"/>
  <c r="AS82" i="14"/>
  <c r="Q84" i="14"/>
  <c r="BU85" i="14"/>
  <c r="BG80" i="14"/>
  <c r="AE82" i="14"/>
  <c r="AE83" i="14"/>
  <c r="BG85" i="14"/>
  <c r="AS80" i="14"/>
  <c r="BU83" i="14"/>
  <c r="AS85" i="14"/>
  <c r="AE80" i="14"/>
  <c r="BG83" i="14"/>
  <c r="AE85" i="14"/>
  <c r="BU81" i="14"/>
  <c r="AS83" i="14"/>
  <c r="Q85" i="14"/>
  <c r="CI85" i="14" s="1"/>
  <c r="Q41" i="14"/>
  <c r="AS38" i="14"/>
  <c r="BU37" i="14"/>
  <c r="AS37" i="14"/>
  <c r="BG41" i="14"/>
  <c r="AE39" i="14"/>
  <c r="BU36" i="14"/>
  <c r="BU39" i="14"/>
  <c r="Q36" i="14"/>
  <c r="AS42" i="14"/>
  <c r="BU41" i="14"/>
  <c r="BU40" i="14"/>
  <c r="Q42" i="14"/>
  <c r="BU38" i="14"/>
  <c r="Q38" i="14"/>
  <c r="Q40" i="14"/>
  <c r="Q39" i="14"/>
  <c r="BG36" i="14"/>
  <c r="AE40" i="14"/>
  <c r="AS40" i="14"/>
  <c r="AE42" i="14"/>
  <c r="AS39" i="14"/>
  <c r="BG38" i="14"/>
  <c r="AE37" i="14"/>
  <c r="Q37" i="14"/>
  <c r="CI37" i="14" s="1"/>
  <c r="AE38" i="14"/>
  <c r="BG40" i="14"/>
  <c r="BG39" i="14"/>
  <c r="BU42" i="14"/>
  <c r="BG37" i="14"/>
  <c r="AS41" i="14"/>
  <c r="AE36" i="14"/>
  <c r="AE41" i="14"/>
  <c r="AS36" i="14"/>
  <c r="BG42" i="14"/>
  <c r="AS157" i="13"/>
  <c r="AS107" i="13"/>
  <c r="BU114" i="13"/>
  <c r="Q149" i="13"/>
  <c r="AS151" i="13"/>
  <c r="AE146" i="13"/>
  <c r="AS156" i="13"/>
  <c r="Q148" i="13"/>
  <c r="AE104" i="13"/>
  <c r="AS150" i="13"/>
  <c r="AE150" i="13"/>
  <c r="AE148" i="13"/>
  <c r="BG155" i="13"/>
  <c r="Q112" i="13"/>
  <c r="BU152" i="13"/>
  <c r="AE110" i="13"/>
  <c r="AE147" i="13"/>
  <c r="AS149" i="13"/>
  <c r="BG152" i="13"/>
  <c r="AS148" i="13"/>
  <c r="Q155" i="13"/>
  <c r="BG114" i="13"/>
  <c r="BG104" i="13"/>
  <c r="AE152" i="13"/>
  <c r="BG105" i="13"/>
  <c r="AE154" i="13"/>
  <c r="AE103" i="13"/>
  <c r="BU107" i="13"/>
  <c r="Q110" i="13"/>
  <c r="AS111" i="13"/>
  <c r="BU103" i="13"/>
  <c r="BU104" i="13"/>
  <c r="AS112" i="13"/>
  <c r="Q146" i="13"/>
  <c r="AS155" i="13"/>
  <c r="BG148" i="13"/>
  <c r="Q109" i="13"/>
  <c r="BU110" i="13"/>
  <c r="AS105" i="13"/>
  <c r="AE109" i="13"/>
  <c r="Q151" i="13"/>
  <c r="CI151" i="13" s="1"/>
  <c r="AE105" i="13"/>
  <c r="BU156" i="13"/>
  <c r="BU146" i="13"/>
  <c r="BG151" i="13"/>
  <c r="BU154" i="13"/>
  <c r="BU149" i="13"/>
  <c r="BU147" i="13"/>
  <c r="BG113" i="13"/>
  <c r="AS154" i="13"/>
  <c r="Q154" i="13"/>
  <c r="Q157" i="13"/>
  <c r="AE113" i="13"/>
  <c r="Q150" i="13"/>
  <c r="BG103" i="13"/>
  <c r="AS152" i="13"/>
  <c r="BU153" i="13"/>
  <c r="BG109" i="13"/>
  <c r="Q152" i="13"/>
  <c r="AS146" i="13"/>
  <c r="BU108" i="13"/>
  <c r="AE112" i="13"/>
  <c r="BU157" i="13"/>
  <c r="BG156" i="13"/>
  <c r="AS103" i="13"/>
  <c r="BG108" i="13"/>
  <c r="Q105" i="13"/>
  <c r="Q106" i="13"/>
  <c r="CI106" i="13" s="1"/>
  <c r="BU109" i="13"/>
  <c r="AE153" i="13"/>
  <c r="AE107" i="13"/>
  <c r="BG154" i="13"/>
  <c r="AE111" i="13"/>
  <c r="BG150" i="13"/>
  <c r="BU155" i="13"/>
  <c r="AE108" i="13"/>
  <c r="BG146" i="13"/>
  <c r="AE106" i="13"/>
  <c r="BG111" i="13"/>
  <c r="AS113" i="13"/>
  <c r="Q147" i="13"/>
  <c r="BU113" i="13"/>
  <c r="Q153" i="13"/>
  <c r="Q113" i="13"/>
  <c r="AE114" i="13"/>
  <c r="AE155" i="13"/>
  <c r="BU148" i="13"/>
  <c r="BG153" i="13"/>
  <c r="AS109" i="13"/>
  <c r="AS153" i="13"/>
  <c r="BU112" i="13"/>
  <c r="Q108" i="13"/>
  <c r="CI108" i="13" s="1"/>
  <c r="BU105" i="13"/>
  <c r="BU111" i="13"/>
  <c r="AE151" i="13"/>
  <c r="BG157" i="13"/>
  <c r="BU106" i="13"/>
  <c r="BG107" i="13"/>
  <c r="AE157" i="13"/>
  <c r="AS108" i="13"/>
  <c r="Q107" i="13"/>
  <c r="AS114" i="13"/>
  <c r="AS104" i="13"/>
  <c r="Q103" i="13"/>
  <c r="CI103" i="13" s="1"/>
  <c r="AS110" i="13"/>
  <c r="Q114" i="13"/>
  <c r="BU151" i="13"/>
  <c r="Q104" i="13"/>
  <c r="AE156" i="13"/>
  <c r="AS147" i="13"/>
  <c r="BG110" i="13"/>
  <c r="BU150" i="13"/>
  <c r="BG147" i="13"/>
  <c r="Q156" i="13"/>
  <c r="CI156" i="13" s="1"/>
  <c r="AE149" i="13"/>
  <c r="BG112" i="13"/>
  <c r="BG106" i="13"/>
  <c r="Q111" i="13"/>
  <c r="CI111" i="13" s="1"/>
  <c r="AS106" i="13"/>
  <c r="BG149" i="13"/>
  <c r="Q115" i="13"/>
  <c r="AE158" i="13"/>
  <c r="BU115" i="13"/>
  <c r="BG158" i="13"/>
  <c r="BU158" i="13"/>
  <c r="Q158" i="13"/>
  <c r="AS158" i="13"/>
  <c r="BG115" i="13"/>
  <c r="AE115" i="13"/>
  <c r="AS115" i="13"/>
  <c r="AS62" i="12"/>
  <c r="BU67" i="12"/>
  <c r="AE64" i="12"/>
  <c r="Q65" i="12"/>
  <c r="AE68" i="12"/>
  <c r="BG71" i="12"/>
  <c r="BU63" i="12"/>
  <c r="Q72" i="12"/>
  <c r="AS69" i="12"/>
  <c r="AS65" i="12"/>
  <c r="Q70" i="12"/>
  <c r="Q62" i="12"/>
  <c r="CI62" i="12" s="1"/>
  <c r="BG62" i="12"/>
  <c r="AS73" i="12"/>
  <c r="BU73" i="12"/>
  <c r="Q63" i="12"/>
  <c r="CI63" i="12" s="1"/>
  <c r="BU65" i="12"/>
  <c r="Q68" i="12"/>
  <c r="BG64" i="12"/>
  <c r="BG63" i="12"/>
  <c r="AE65" i="12"/>
  <c r="Q67" i="12"/>
  <c r="CI67" i="12" s="1"/>
  <c r="BU64" i="12"/>
  <c r="AE73" i="12"/>
  <c r="AE66" i="12"/>
  <c r="AE71" i="12"/>
  <c r="BG70" i="12"/>
  <c r="BG72" i="12"/>
  <c r="BU62" i="12"/>
  <c r="AS64" i="12"/>
  <c r="BG65" i="12"/>
  <c r="BU72" i="12"/>
  <c r="AE67" i="12"/>
  <c r="BU69" i="12"/>
  <c r="Q66" i="12"/>
  <c r="BG73" i="12"/>
  <c r="Q64" i="12"/>
  <c r="BU70" i="12"/>
  <c r="AS72" i="12"/>
  <c r="AE72" i="12"/>
  <c r="AS71" i="12"/>
  <c r="AS66" i="12"/>
  <c r="AS63" i="12"/>
  <c r="Q73" i="12"/>
  <c r="BU71" i="12"/>
  <c r="BG66" i="12"/>
  <c r="AE62" i="12"/>
  <c r="Q71" i="12"/>
  <c r="BU68" i="12"/>
  <c r="AE63" i="12"/>
  <c r="BG69" i="12"/>
  <c r="AS68" i="12"/>
  <c r="BU66" i="12"/>
  <c r="BG68" i="12"/>
  <c r="BG67" i="12"/>
  <c r="AE69" i="12"/>
  <c r="AS67" i="12"/>
  <c r="AS70" i="12"/>
  <c r="AE70" i="12"/>
  <c r="Q69" i="12"/>
  <c r="Q99" i="12"/>
  <c r="Q91" i="12"/>
  <c r="AE94" i="12"/>
  <c r="Q90" i="12"/>
  <c r="BU92" i="12"/>
  <c r="Q94" i="12"/>
  <c r="Q98" i="12"/>
  <c r="BG91" i="12"/>
  <c r="BU96" i="12"/>
  <c r="AS95" i="12"/>
  <c r="AE98" i="12"/>
  <c r="AE90" i="12"/>
  <c r="BU93" i="12"/>
  <c r="AE92" i="12"/>
  <c r="BU91" i="12"/>
  <c r="Q97" i="12"/>
  <c r="CI97" i="12" s="1"/>
  <c r="BG89" i="12"/>
  <c r="AS94" i="12"/>
  <c r="BG99" i="12"/>
  <c r="BU95" i="12"/>
  <c r="BG92" i="12"/>
  <c r="AS98" i="12"/>
  <c r="Q95" i="12"/>
  <c r="AS97" i="12"/>
  <c r="AE93" i="12"/>
  <c r="BG97" i="12"/>
  <c r="AE97" i="12"/>
  <c r="BU94" i="12"/>
  <c r="BU90" i="12"/>
  <c r="AE91" i="12"/>
  <c r="AS92" i="12"/>
  <c r="AE95" i="12"/>
  <c r="BU98" i="12"/>
  <c r="Q88" i="12"/>
  <c r="AS88" i="12"/>
  <c r="AE88" i="12"/>
  <c r="AS91" i="12"/>
  <c r="BU99" i="12"/>
  <c r="AE99" i="12"/>
  <c r="BG88" i="12"/>
  <c r="Q96" i="12"/>
  <c r="AE96" i="12"/>
  <c r="BU97" i="12"/>
  <c r="AE89" i="12"/>
  <c r="BG96" i="12"/>
  <c r="AS99" i="12"/>
  <c r="BG93" i="12"/>
  <c r="BG95" i="12"/>
  <c r="BG90" i="12"/>
  <c r="AS89" i="12"/>
  <c r="AS93" i="12"/>
  <c r="Q93" i="12"/>
  <c r="CI93" i="12" s="1"/>
  <c r="BG94" i="12"/>
  <c r="Q92" i="12"/>
  <c r="BG98" i="12"/>
  <c r="AS90" i="12"/>
  <c r="Q100" i="12"/>
  <c r="Q89" i="12"/>
  <c r="BU89" i="12"/>
  <c r="AS96" i="12"/>
  <c r="BU88" i="12"/>
  <c r="AS100" i="12"/>
  <c r="BU100" i="12"/>
  <c r="BG100" i="12"/>
  <c r="AE74" i="12"/>
  <c r="AS74" i="12"/>
  <c r="Q74" i="12"/>
  <c r="BG74" i="12"/>
  <c r="BU74" i="12"/>
  <c r="AE100" i="12"/>
  <c r="AH60" i="15"/>
  <c r="BJ60" i="15"/>
  <c r="BX60" i="15"/>
  <c r="AV60" i="15"/>
  <c r="T60" i="15"/>
  <c r="T17" i="15"/>
  <c r="AV17" i="15"/>
  <c r="AH17" i="15"/>
  <c r="BX17" i="15"/>
  <c r="BJ17" i="15"/>
  <c r="AH39" i="14"/>
  <c r="BJ84" i="14"/>
  <c r="AV79" i="14"/>
  <c r="T81" i="14"/>
  <c r="BJ37" i="14"/>
  <c r="BX82" i="14"/>
  <c r="AV84" i="14"/>
  <c r="AH79" i="14"/>
  <c r="BX38" i="14"/>
  <c r="BJ82" i="14"/>
  <c r="AH84" i="14"/>
  <c r="T79" i="14"/>
  <c r="T41" i="14"/>
  <c r="BX39" i="14"/>
  <c r="BX80" i="14"/>
  <c r="AV82" i="14"/>
  <c r="T84" i="14"/>
  <c r="BX85" i="14"/>
  <c r="BJ80" i="14"/>
  <c r="AH82" i="14"/>
  <c r="BJ85" i="14"/>
  <c r="AV80" i="14"/>
  <c r="T82" i="14"/>
  <c r="T80" i="14"/>
  <c r="T83" i="14"/>
  <c r="BX83" i="14"/>
  <c r="AV85" i="14"/>
  <c r="AH80" i="14"/>
  <c r="T85" i="14"/>
  <c r="BJ41" i="14"/>
  <c r="BJ83" i="14"/>
  <c r="AH85" i="14"/>
  <c r="BX81" i="14"/>
  <c r="AV83" i="14"/>
  <c r="BJ81" i="14"/>
  <c r="AH83" i="14"/>
  <c r="BJ38" i="14"/>
  <c r="BX79" i="14"/>
  <c r="AV81" i="14"/>
  <c r="BX84" i="14"/>
  <c r="BJ79" i="14"/>
  <c r="AH81" i="14"/>
  <c r="BX37" i="14"/>
  <c r="BX36" i="14"/>
  <c r="BX42" i="14"/>
  <c r="AV38" i="14"/>
  <c r="T37" i="14"/>
  <c r="T38" i="14"/>
  <c r="AV41" i="14"/>
  <c r="AH37" i="14"/>
  <c r="BX41" i="14"/>
  <c r="BX40" i="14"/>
  <c r="AH41" i="14"/>
  <c r="AH38" i="14"/>
  <c r="AV39" i="14"/>
  <c r="AV40" i="14"/>
  <c r="AV37" i="14"/>
  <c r="BJ36" i="14"/>
  <c r="T40" i="14"/>
  <c r="AV36" i="14"/>
  <c r="T39" i="14"/>
  <c r="AH42" i="14"/>
  <c r="T42" i="14"/>
  <c r="AV42" i="14"/>
  <c r="T36" i="14"/>
  <c r="BJ40" i="14"/>
  <c r="AH40" i="14"/>
  <c r="BJ39" i="14"/>
  <c r="AH36" i="14"/>
  <c r="BJ42" i="14"/>
  <c r="T103" i="13"/>
  <c r="BJ155" i="13"/>
  <c r="AV110" i="13"/>
  <c r="T114" i="13"/>
  <c r="CL114" i="13" s="1"/>
  <c r="AH156" i="13"/>
  <c r="AH111" i="13"/>
  <c r="AV103" i="13"/>
  <c r="BJ103" i="13"/>
  <c r="BX146" i="13"/>
  <c r="BJ147" i="13"/>
  <c r="BJ146" i="13"/>
  <c r="T149" i="13"/>
  <c r="AV151" i="13"/>
  <c r="T146" i="13"/>
  <c r="CL146" i="13" s="1"/>
  <c r="BJ113" i="13"/>
  <c r="BJ106" i="13"/>
  <c r="T111" i="13"/>
  <c r="AV157" i="13"/>
  <c r="AH147" i="13"/>
  <c r="AV107" i="13"/>
  <c r="BX113" i="13"/>
  <c r="AV150" i="13"/>
  <c r="T113" i="13"/>
  <c r="CL113" i="13" s="1"/>
  <c r="AH106" i="13"/>
  <c r="T106" i="13"/>
  <c r="BX114" i="13"/>
  <c r="AV156" i="13"/>
  <c r="T147" i="13"/>
  <c r="AH149" i="13"/>
  <c r="AH110" i="13"/>
  <c r="BX107" i="13"/>
  <c r="AV149" i="13"/>
  <c r="AV153" i="13"/>
  <c r="BJ152" i="13"/>
  <c r="AH157" i="13"/>
  <c r="BJ105" i="13"/>
  <c r="BX155" i="13"/>
  <c r="AV111" i="13"/>
  <c r="AV114" i="13"/>
  <c r="T107" i="13"/>
  <c r="CL107" i="13" s="1"/>
  <c r="AH154" i="13"/>
  <c r="BX106" i="13"/>
  <c r="T110" i="13"/>
  <c r="AV148" i="13"/>
  <c r="BJ114" i="13"/>
  <c r="AV147" i="13"/>
  <c r="AV105" i="13"/>
  <c r="AH114" i="13"/>
  <c r="BX103" i="13"/>
  <c r="BX149" i="13"/>
  <c r="BJ151" i="13"/>
  <c r="AV112" i="13"/>
  <c r="BX110" i="13"/>
  <c r="T112" i="13"/>
  <c r="AH105" i="13"/>
  <c r="AH155" i="13"/>
  <c r="BX150" i="13"/>
  <c r="BJ148" i="13"/>
  <c r="T109" i="13"/>
  <c r="T104" i="13"/>
  <c r="T155" i="13"/>
  <c r="CL155" i="13" s="1"/>
  <c r="T150" i="13"/>
  <c r="BJ110" i="13"/>
  <c r="BX151" i="13"/>
  <c r="BX147" i="13"/>
  <c r="AV154" i="13"/>
  <c r="T157" i="13"/>
  <c r="AH112" i="13"/>
  <c r="BJ156" i="13"/>
  <c r="BJ149" i="13"/>
  <c r="BJ108" i="13"/>
  <c r="T156" i="13"/>
  <c r="AV146" i="13"/>
  <c r="AV152" i="13"/>
  <c r="BX108" i="13"/>
  <c r="T154" i="13"/>
  <c r="BX153" i="13"/>
  <c r="BJ109" i="13"/>
  <c r="AH108" i="13"/>
  <c r="AH113" i="13"/>
  <c r="BJ150" i="13"/>
  <c r="AV106" i="13"/>
  <c r="AH146" i="13"/>
  <c r="AH148" i="13"/>
  <c r="BX148" i="13"/>
  <c r="BX152" i="13"/>
  <c r="T105" i="13"/>
  <c r="BX109" i="13"/>
  <c r="AH152" i="13"/>
  <c r="AH153" i="13"/>
  <c r="AH107" i="13"/>
  <c r="BJ154" i="13"/>
  <c r="T148" i="13"/>
  <c r="AH104" i="13"/>
  <c r="BJ111" i="13"/>
  <c r="BJ107" i="13"/>
  <c r="T152" i="13"/>
  <c r="BJ112" i="13"/>
  <c r="AV113" i="13"/>
  <c r="T108" i="13"/>
  <c r="T153" i="13"/>
  <c r="AH109" i="13"/>
  <c r="AV109" i="13"/>
  <c r="BX104" i="13"/>
  <c r="BX156" i="13"/>
  <c r="AH151" i="13"/>
  <c r="BJ153" i="13"/>
  <c r="AH103" i="13"/>
  <c r="BX112" i="13"/>
  <c r="BX105" i="13"/>
  <c r="BX111" i="13"/>
  <c r="AH150" i="13"/>
  <c r="BX157" i="13"/>
  <c r="AV108" i="13"/>
  <c r="BJ157" i="13"/>
  <c r="AV155" i="13"/>
  <c r="T151" i="13"/>
  <c r="BX154" i="13"/>
  <c r="AV104" i="13"/>
  <c r="BJ104" i="13"/>
  <c r="BX115" i="13"/>
  <c r="AH158" i="13"/>
  <c r="BJ115" i="13"/>
  <c r="T158" i="13"/>
  <c r="AV115" i="13"/>
  <c r="AH115" i="13"/>
  <c r="T115" i="13"/>
  <c r="BJ158" i="13"/>
  <c r="BX158" i="13"/>
  <c r="AV158" i="13"/>
  <c r="BJ65" i="12"/>
  <c r="BJ70" i="12"/>
  <c r="AV62" i="12"/>
  <c r="BX62" i="12"/>
  <c r="BJ62" i="12"/>
  <c r="T71" i="12"/>
  <c r="CL71" i="12" s="1"/>
  <c r="AV64" i="12"/>
  <c r="BJ69" i="12"/>
  <c r="BX71" i="12"/>
  <c r="AH70" i="12"/>
  <c r="T64" i="12"/>
  <c r="T69" i="12"/>
  <c r="BJ68" i="12"/>
  <c r="T73" i="12"/>
  <c r="BJ71" i="12"/>
  <c r="AV66" i="12"/>
  <c r="BJ73" i="12"/>
  <c r="BX64" i="12"/>
  <c r="BX69" i="12"/>
  <c r="T68" i="12"/>
  <c r="T63" i="12"/>
  <c r="AH68" i="12"/>
  <c r="BX67" i="12"/>
  <c r="BJ72" i="12"/>
  <c r="AH73" i="12"/>
  <c r="AV69" i="12"/>
  <c r="BX66" i="12"/>
  <c r="BX73" i="12"/>
  <c r="AH71" i="12"/>
  <c r="BX72" i="12"/>
  <c r="T65" i="12"/>
  <c r="BJ67" i="12"/>
  <c r="BJ63" i="12"/>
  <c r="AV72" i="12"/>
  <c r="T67" i="12"/>
  <c r="AH63" i="12"/>
  <c r="T62" i="12"/>
  <c r="CL62" i="12" s="1"/>
  <c r="BX63" i="12"/>
  <c r="AV63" i="12"/>
  <c r="AV71" i="12"/>
  <c r="AV73" i="12"/>
  <c r="AH65" i="12"/>
  <c r="AV65" i="12"/>
  <c r="AH64" i="12"/>
  <c r="AH72" i="12"/>
  <c r="T66" i="12"/>
  <c r="AH69" i="12"/>
  <c r="AV67" i="12"/>
  <c r="AV70" i="12"/>
  <c r="BJ66" i="12"/>
  <c r="AV68" i="12"/>
  <c r="AH62" i="12"/>
  <c r="BX70" i="12"/>
  <c r="AH67" i="12"/>
  <c r="BX68" i="12"/>
  <c r="BX65" i="12"/>
  <c r="T70" i="12"/>
  <c r="CL70" i="12" s="1"/>
  <c r="BJ64" i="12"/>
  <c r="T72" i="12"/>
  <c r="AH66" i="12"/>
  <c r="AH94" i="12"/>
  <c r="T88" i="12"/>
  <c r="T89" i="12"/>
  <c r="BJ91" i="12"/>
  <c r="AV94" i="12"/>
  <c r="BJ99" i="12"/>
  <c r="AV95" i="12"/>
  <c r="T95" i="12"/>
  <c r="BX92" i="12"/>
  <c r="T94" i="12"/>
  <c r="AH90" i="12"/>
  <c r="BX98" i="12"/>
  <c r="T98" i="12"/>
  <c r="AV98" i="12"/>
  <c r="BJ95" i="12"/>
  <c r="BX88" i="12"/>
  <c r="AH98" i="12"/>
  <c r="T92" i="12"/>
  <c r="CL92" i="12" s="1"/>
  <c r="AV97" i="12"/>
  <c r="T90" i="12"/>
  <c r="BX96" i="12"/>
  <c r="BJ90" i="12"/>
  <c r="BX90" i="12"/>
  <c r="BX94" i="12"/>
  <c r="BJ97" i="12"/>
  <c r="AV89" i="12"/>
  <c r="AH96" i="12"/>
  <c r="AV99" i="12"/>
  <c r="AH92" i="12"/>
  <c r="AV91" i="12"/>
  <c r="T99" i="12"/>
  <c r="BJ94" i="12"/>
  <c r="BX89" i="12"/>
  <c r="BX97" i="12"/>
  <c r="T93" i="12"/>
  <c r="CL93" i="12" s="1"/>
  <c r="AV90" i="12"/>
  <c r="CL90" i="12" s="1"/>
  <c r="BX93" i="12"/>
  <c r="AV92" i="12"/>
  <c r="AV88" i="12"/>
  <c r="BJ92" i="12"/>
  <c r="BJ98" i="12"/>
  <c r="AH97" i="12"/>
  <c r="T96" i="12"/>
  <c r="T97" i="12"/>
  <c r="BJ93" i="12"/>
  <c r="AH95" i="12"/>
  <c r="T100" i="12"/>
  <c r="CL100" i="12" s="1"/>
  <c r="T91" i="12"/>
  <c r="BJ88" i="12"/>
  <c r="AV93" i="12"/>
  <c r="AH91" i="12"/>
  <c r="AH88" i="12"/>
  <c r="BJ96" i="12"/>
  <c r="AH89" i="12"/>
  <c r="AH93" i="12"/>
  <c r="BX91" i="12"/>
  <c r="AH99" i="12"/>
  <c r="BX95" i="12"/>
  <c r="BJ89" i="12"/>
  <c r="BX99" i="12"/>
  <c r="AV96" i="12"/>
  <c r="AV74" i="12"/>
  <c r="BJ100" i="12"/>
  <c r="BJ74" i="12"/>
  <c r="AV100" i="12"/>
  <c r="BX74" i="12"/>
  <c r="BX100" i="12"/>
  <c r="T74" i="12"/>
  <c r="AH100" i="12"/>
  <c r="AH74" i="12"/>
  <c r="BK60" i="15"/>
  <c r="AI60" i="15"/>
  <c r="AW60" i="15"/>
  <c r="U60" i="15"/>
  <c r="BY60" i="15"/>
  <c r="AW17" i="15"/>
  <c r="BK17" i="15"/>
  <c r="U17" i="15"/>
  <c r="CM17" i="15" s="1"/>
  <c r="BY17" i="15"/>
  <c r="AI17" i="15"/>
  <c r="BK84" i="14"/>
  <c r="AW79" i="14"/>
  <c r="U81" i="14"/>
  <c r="U79" i="14"/>
  <c r="CM79" i="14" s="1"/>
  <c r="U37" i="14"/>
  <c r="BY82" i="14"/>
  <c r="AW84" i="14"/>
  <c r="AI79" i="14"/>
  <c r="BY84" i="14"/>
  <c r="BK82" i="14"/>
  <c r="AI84" i="14"/>
  <c r="U80" i="14"/>
  <c r="BY80" i="14"/>
  <c r="AW82" i="14"/>
  <c r="U84" i="14"/>
  <c r="CM84" i="14" s="1"/>
  <c r="BY85" i="14"/>
  <c r="BK80" i="14"/>
  <c r="AI82" i="14"/>
  <c r="U85" i="14"/>
  <c r="U83" i="14"/>
  <c r="AW41" i="14"/>
  <c r="BK85" i="14"/>
  <c r="AW80" i="14"/>
  <c r="U82" i="14"/>
  <c r="BY83" i="14"/>
  <c r="AW85" i="14"/>
  <c r="AI80" i="14"/>
  <c r="BK83" i="14"/>
  <c r="AI85" i="14"/>
  <c r="AI40" i="14"/>
  <c r="BY81" i="14"/>
  <c r="AW83" i="14"/>
  <c r="BK79" i="14"/>
  <c r="BK81" i="14"/>
  <c r="AI83" i="14"/>
  <c r="BY79" i="14"/>
  <c r="AW81" i="14"/>
  <c r="AI81" i="14"/>
  <c r="BK39" i="14"/>
  <c r="BY37" i="14"/>
  <c r="AW40" i="14"/>
  <c r="AI36" i="14"/>
  <c r="BY39" i="14"/>
  <c r="BY38" i="14"/>
  <c r="AW38" i="14"/>
  <c r="BY42" i="14"/>
  <c r="U40" i="14"/>
  <c r="AW37" i="14"/>
  <c r="BY36" i="14"/>
  <c r="AI41" i="14"/>
  <c r="BY41" i="14"/>
  <c r="AI39" i="14"/>
  <c r="AW36" i="14"/>
  <c r="BY40" i="14"/>
  <c r="BK36" i="14"/>
  <c r="AI42" i="14"/>
  <c r="U41" i="14"/>
  <c r="BK38" i="14"/>
  <c r="BK37" i="14"/>
  <c r="U36" i="14"/>
  <c r="AW42" i="14"/>
  <c r="AW39" i="14"/>
  <c r="U38" i="14"/>
  <c r="AI37" i="14"/>
  <c r="BK40" i="14"/>
  <c r="U39" i="14"/>
  <c r="AI38" i="14"/>
  <c r="BK41" i="14"/>
  <c r="U42" i="14"/>
  <c r="BK42" i="14"/>
  <c r="BK157" i="13"/>
  <c r="AW113" i="13"/>
  <c r="BY157" i="13"/>
  <c r="U154" i="13"/>
  <c r="BY154" i="13"/>
  <c r="AW104" i="13"/>
  <c r="BK104" i="13"/>
  <c r="BY150" i="13"/>
  <c r="U103" i="13"/>
  <c r="BK155" i="13"/>
  <c r="AW110" i="13"/>
  <c r="BK146" i="13"/>
  <c r="AW151" i="13"/>
  <c r="AI150" i="13"/>
  <c r="AI111" i="13"/>
  <c r="BY108" i="13"/>
  <c r="AW103" i="13"/>
  <c r="BK113" i="13"/>
  <c r="AI147" i="13"/>
  <c r="AW106" i="13"/>
  <c r="BK106" i="13"/>
  <c r="U111" i="13"/>
  <c r="U114" i="13"/>
  <c r="AW107" i="13"/>
  <c r="BY113" i="13"/>
  <c r="U113" i="13"/>
  <c r="AI106" i="13"/>
  <c r="AI104" i="13"/>
  <c r="U105" i="13"/>
  <c r="U106" i="13"/>
  <c r="CM106" i="13" s="1"/>
  <c r="U147" i="13"/>
  <c r="AI149" i="13"/>
  <c r="BK114" i="13"/>
  <c r="AW156" i="13"/>
  <c r="BK107" i="13"/>
  <c r="BY114" i="13"/>
  <c r="AW148" i="13"/>
  <c r="U108" i="13"/>
  <c r="CM108" i="13" s="1"/>
  <c r="BK153" i="13"/>
  <c r="AW109" i="13"/>
  <c r="AW149" i="13"/>
  <c r="AW153" i="13"/>
  <c r="BK152" i="13"/>
  <c r="AI157" i="13"/>
  <c r="U146" i="13"/>
  <c r="AI110" i="13"/>
  <c r="AW114" i="13"/>
  <c r="AI114" i="13"/>
  <c r="BY103" i="13"/>
  <c r="U112" i="13"/>
  <c r="BY110" i="13"/>
  <c r="BY151" i="13"/>
  <c r="BY106" i="13"/>
  <c r="BY146" i="13"/>
  <c r="AW155" i="13"/>
  <c r="BK151" i="13"/>
  <c r="BY105" i="13"/>
  <c r="AW147" i="13"/>
  <c r="AW112" i="13"/>
  <c r="U107" i="13"/>
  <c r="AW105" i="13"/>
  <c r="BK156" i="13"/>
  <c r="AI155" i="13"/>
  <c r="AI108" i="13"/>
  <c r="U155" i="13"/>
  <c r="AI113" i="13"/>
  <c r="BK148" i="13"/>
  <c r="U109" i="13"/>
  <c r="AI105" i="13"/>
  <c r="U104" i="13"/>
  <c r="AI112" i="13"/>
  <c r="BK150" i="13"/>
  <c r="BK110" i="13"/>
  <c r="BY149" i="13"/>
  <c r="BK103" i="13"/>
  <c r="BK108" i="13"/>
  <c r="BK147" i="13"/>
  <c r="AW154" i="13"/>
  <c r="AW146" i="13"/>
  <c r="BK112" i="13"/>
  <c r="AW152" i="13"/>
  <c r="BY156" i="13"/>
  <c r="U150" i="13"/>
  <c r="BY155" i="13"/>
  <c r="BK149" i="13"/>
  <c r="U157" i="13"/>
  <c r="CM157" i="13" s="1"/>
  <c r="AW157" i="13"/>
  <c r="BY153" i="13"/>
  <c r="BY147" i="13"/>
  <c r="U156" i="13"/>
  <c r="U149" i="13"/>
  <c r="CM149" i="13" s="1"/>
  <c r="AI146" i="13"/>
  <c r="AI103" i="13"/>
  <c r="AI152" i="13"/>
  <c r="AI148" i="13"/>
  <c r="U148" i="13"/>
  <c r="BY148" i="13"/>
  <c r="BY152" i="13"/>
  <c r="BK109" i="13"/>
  <c r="BK111" i="13"/>
  <c r="BY107" i="13"/>
  <c r="BY112" i="13"/>
  <c r="BY109" i="13"/>
  <c r="U152" i="13"/>
  <c r="AI153" i="13"/>
  <c r="AW150" i="13"/>
  <c r="BK154" i="13"/>
  <c r="AI107" i="13"/>
  <c r="AI156" i="13"/>
  <c r="BK105" i="13"/>
  <c r="AI154" i="13"/>
  <c r="U110" i="13"/>
  <c r="AW111" i="13"/>
  <c r="U153" i="13"/>
  <c r="CM153" i="13" s="1"/>
  <c r="AI151" i="13"/>
  <c r="AI109" i="13"/>
  <c r="U151" i="13"/>
  <c r="BY104" i="13"/>
  <c r="BY111" i="13"/>
  <c r="AW108" i="13"/>
  <c r="BY115" i="13"/>
  <c r="U115" i="13"/>
  <c r="AW115" i="13"/>
  <c r="AI115" i="13"/>
  <c r="BK115" i="13"/>
  <c r="BK158" i="13"/>
  <c r="BY158" i="13"/>
  <c r="AI158" i="13"/>
  <c r="U158" i="13"/>
  <c r="AW158" i="13"/>
  <c r="AW62" i="12"/>
  <c r="BK62" i="12"/>
  <c r="BK68" i="12"/>
  <c r="U69" i="12"/>
  <c r="CM69" i="12" s="1"/>
  <c r="U66" i="12"/>
  <c r="BY72" i="12"/>
  <c r="BY73" i="12"/>
  <c r="AI63" i="12"/>
  <c r="U68" i="12"/>
  <c r="AW63" i="12"/>
  <c r="BY69" i="12"/>
  <c r="U72" i="12"/>
  <c r="AI72" i="12"/>
  <c r="BK71" i="12"/>
  <c r="BK72" i="12"/>
  <c r="AI67" i="12"/>
  <c r="BY63" i="12"/>
  <c r="AW73" i="12"/>
  <c r="AI69" i="12"/>
  <c r="AW72" i="12"/>
  <c r="BY71" i="12"/>
  <c r="AI68" i="12"/>
  <c r="AI66" i="12"/>
  <c r="BK63" i="12"/>
  <c r="CM63" i="12" s="1"/>
  <c r="BK64" i="12"/>
  <c r="U67" i="12"/>
  <c r="CM67" i="12" s="1"/>
  <c r="BK69" i="12"/>
  <c r="BK65" i="12"/>
  <c r="AW68" i="12"/>
  <c r="AI62" i="12"/>
  <c r="BY66" i="12"/>
  <c r="BK70" i="12"/>
  <c r="AW66" i="12"/>
  <c r="BY65" i="12"/>
  <c r="AI73" i="12"/>
  <c r="U73" i="12"/>
  <c r="U71" i="12"/>
  <c r="AW65" i="12"/>
  <c r="U64" i="12"/>
  <c r="AI64" i="12"/>
  <c r="AI71" i="12"/>
  <c r="AI65" i="12"/>
  <c r="AW71" i="12"/>
  <c r="U70" i="12"/>
  <c r="CM70" i="12" s="1"/>
  <c r="U62" i="12"/>
  <c r="BY62" i="12"/>
  <c r="BY70" i="12"/>
  <c r="BY68" i="12"/>
  <c r="AW70" i="12"/>
  <c r="BK66" i="12"/>
  <c r="BK67" i="12"/>
  <c r="AI70" i="12"/>
  <c r="BY64" i="12"/>
  <c r="BK73" i="12"/>
  <c r="AW69" i="12"/>
  <c r="BY67" i="12"/>
  <c r="AW67" i="12"/>
  <c r="U65" i="12"/>
  <c r="U63" i="12"/>
  <c r="AW64" i="12"/>
  <c r="AI94" i="12"/>
  <c r="U88" i="12"/>
  <c r="CM88" i="12" s="1"/>
  <c r="U91" i="12"/>
  <c r="AW98" i="12"/>
  <c r="U92" i="12"/>
  <c r="BK89" i="12"/>
  <c r="BK88" i="12"/>
  <c r="BY92" i="12"/>
  <c r="AI95" i="12"/>
  <c r="U98" i="12"/>
  <c r="U94" i="12"/>
  <c r="BK95" i="12"/>
  <c r="BY88" i="12"/>
  <c r="BK97" i="12"/>
  <c r="AW95" i="12"/>
  <c r="AI98" i="12"/>
  <c r="AI97" i="12"/>
  <c r="BY96" i="12"/>
  <c r="U90" i="12"/>
  <c r="CM90" i="12" s="1"/>
  <c r="AI90" i="12"/>
  <c r="BK96" i="12"/>
  <c r="BK91" i="12"/>
  <c r="AW90" i="12"/>
  <c r="AI89" i="12"/>
  <c r="AW99" i="12"/>
  <c r="AW94" i="12"/>
  <c r="AW92" i="12"/>
  <c r="AI91" i="12"/>
  <c r="BK90" i="12"/>
  <c r="AW97" i="12"/>
  <c r="U96" i="12"/>
  <c r="AW89" i="12"/>
  <c r="BY99" i="12"/>
  <c r="AI93" i="12"/>
  <c r="BY90" i="12"/>
  <c r="U93" i="12"/>
  <c r="AI99" i="12"/>
  <c r="U97" i="12"/>
  <c r="CM97" i="12" s="1"/>
  <c r="AW91" i="12"/>
  <c r="AW96" i="12"/>
  <c r="BK99" i="12"/>
  <c r="AW100" i="12"/>
  <c r="BY91" i="12"/>
  <c r="AI88" i="12"/>
  <c r="AI92" i="12"/>
  <c r="BY94" i="12"/>
  <c r="BY95" i="12"/>
  <c r="AW93" i="12"/>
  <c r="AI96" i="12"/>
  <c r="U99" i="12"/>
  <c r="CM99" i="12" s="1"/>
  <c r="BY98" i="12"/>
  <c r="BY93" i="12"/>
  <c r="BK94" i="12"/>
  <c r="BY97" i="12"/>
  <c r="BK92" i="12"/>
  <c r="U100" i="12"/>
  <c r="CM100" i="12" s="1"/>
  <c r="U95" i="12"/>
  <c r="U89" i="12"/>
  <c r="BY89" i="12"/>
  <c r="BK98" i="12"/>
  <c r="AW88" i="12"/>
  <c r="BK93" i="12"/>
  <c r="BK100" i="12"/>
  <c r="AW74" i="12"/>
  <c r="AI74" i="12"/>
  <c r="U74" i="12"/>
  <c r="AI100" i="12"/>
  <c r="BK74" i="12"/>
  <c r="BY74" i="12"/>
  <c r="BY100" i="12"/>
  <c r="AJ60" i="15"/>
  <c r="DE60" i="15" s="1"/>
  <c r="V60" i="15"/>
  <c r="BZ60" i="15"/>
  <c r="DQ60" i="15" s="1"/>
  <c r="BL17" i="15"/>
  <c r="DM17" i="15" s="1"/>
  <c r="AX60" i="15"/>
  <c r="DI60" i="15" s="1"/>
  <c r="BL60" i="15"/>
  <c r="DM60" i="15" s="1"/>
  <c r="AJ17" i="15"/>
  <c r="DE17" i="15" s="1"/>
  <c r="AX17" i="15"/>
  <c r="DI17" i="15" s="1"/>
  <c r="V17" i="15"/>
  <c r="BZ17" i="15"/>
  <c r="DQ17" i="15" s="1"/>
  <c r="V79" i="14"/>
  <c r="BZ82" i="14"/>
  <c r="DQ82" i="14" s="1"/>
  <c r="AX84" i="14"/>
  <c r="DI84" i="14" s="1"/>
  <c r="AJ79" i="14"/>
  <c r="DE79" i="14" s="1"/>
  <c r="BL38" i="14"/>
  <c r="DM38" i="14" s="1"/>
  <c r="BZ36" i="14"/>
  <c r="DQ36" i="14" s="1"/>
  <c r="BZ40" i="14"/>
  <c r="DQ40" i="14" s="1"/>
  <c r="BL82" i="14"/>
  <c r="DM82" i="14" s="1"/>
  <c r="AJ84" i="14"/>
  <c r="DE84" i="14" s="1"/>
  <c r="BZ80" i="14"/>
  <c r="DQ80" i="14" s="1"/>
  <c r="AX82" i="14"/>
  <c r="DI82" i="14" s="1"/>
  <c r="V84" i="14"/>
  <c r="BZ85" i="14"/>
  <c r="DQ85" i="14" s="1"/>
  <c r="BL80" i="14"/>
  <c r="DM80" i="14" s="1"/>
  <c r="AJ82" i="14"/>
  <c r="DE82" i="14" s="1"/>
  <c r="BL85" i="14"/>
  <c r="DM85" i="14" s="1"/>
  <c r="AX80" i="14"/>
  <c r="DI80" i="14" s="1"/>
  <c r="V82" i="14"/>
  <c r="BZ39" i="14"/>
  <c r="DQ39" i="14" s="1"/>
  <c r="BZ83" i="14"/>
  <c r="DQ83" i="14" s="1"/>
  <c r="AX85" i="14"/>
  <c r="DI85" i="14" s="1"/>
  <c r="AJ80" i="14"/>
  <c r="DE80" i="14" s="1"/>
  <c r="V85" i="14"/>
  <c r="BL83" i="14"/>
  <c r="DM83" i="14" s="1"/>
  <c r="AJ85" i="14"/>
  <c r="DE85" i="14" s="1"/>
  <c r="V80" i="14"/>
  <c r="BZ81" i="14"/>
  <c r="DQ81" i="14" s="1"/>
  <c r="AX83" i="14"/>
  <c r="DI83" i="14" s="1"/>
  <c r="BL81" i="14"/>
  <c r="DM81" i="14" s="1"/>
  <c r="AJ83" i="14"/>
  <c r="DE83" i="14" s="1"/>
  <c r="BL39" i="14"/>
  <c r="DM39" i="14" s="1"/>
  <c r="BZ79" i="14"/>
  <c r="DQ79" i="14" s="1"/>
  <c r="AX81" i="14"/>
  <c r="DI81" i="14" s="1"/>
  <c r="V83" i="14"/>
  <c r="BZ84" i="14"/>
  <c r="DQ84" i="14" s="1"/>
  <c r="BL79" i="14"/>
  <c r="DM79" i="14" s="1"/>
  <c r="AJ81" i="14"/>
  <c r="DE81" i="14" s="1"/>
  <c r="BL84" i="14"/>
  <c r="DM84" i="14" s="1"/>
  <c r="AX79" i="14"/>
  <c r="DI79" i="14" s="1"/>
  <c r="V81" i="14"/>
  <c r="BZ42" i="14"/>
  <c r="DQ42" i="14" s="1"/>
  <c r="V40" i="14"/>
  <c r="V36" i="14"/>
  <c r="BZ38" i="14"/>
  <c r="DQ38" i="14" s="1"/>
  <c r="V37" i="14"/>
  <c r="BZ37" i="14"/>
  <c r="DQ37" i="14" s="1"/>
  <c r="V38" i="14"/>
  <c r="V39" i="14"/>
  <c r="AX42" i="14"/>
  <c r="DI42" i="14" s="1"/>
  <c r="AJ37" i="14"/>
  <c r="DE37" i="14" s="1"/>
  <c r="V41" i="14"/>
  <c r="AJ36" i="14"/>
  <c r="DE36" i="14" s="1"/>
  <c r="AJ40" i="14"/>
  <c r="DE40" i="14" s="1"/>
  <c r="AJ38" i="14"/>
  <c r="DE38" i="14" s="1"/>
  <c r="AX36" i="14"/>
  <c r="DI36" i="14" s="1"/>
  <c r="AX41" i="14"/>
  <c r="DI41" i="14" s="1"/>
  <c r="BZ41" i="14"/>
  <c r="DQ41" i="14" s="1"/>
  <c r="AX37" i="14"/>
  <c r="DI37" i="14" s="1"/>
  <c r="AJ39" i="14"/>
  <c r="DE39" i="14" s="1"/>
  <c r="AJ42" i="14"/>
  <c r="DE42" i="14" s="1"/>
  <c r="BL40" i="14"/>
  <c r="DM40" i="14" s="1"/>
  <c r="AX39" i="14"/>
  <c r="DI39" i="14" s="1"/>
  <c r="AX38" i="14"/>
  <c r="DI38" i="14" s="1"/>
  <c r="BL37" i="14"/>
  <c r="DM37" i="14" s="1"/>
  <c r="BL36" i="14"/>
  <c r="DM36" i="14" s="1"/>
  <c r="AX40" i="14"/>
  <c r="DI40" i="14" s="1"/>
  <c r="BL41" i="14"/>
  <c r="DM41" i="14" s="1"/>
  <c r="AJ41" i="14"/>
  <c r="DE41" i="14" s="1"/>
  <c r="V42" i="14"/>
  <c r="BL42" i="14"/>
  <c r="DM42" i="14" s="1"/>
  <c r="BZ104" i="13"/>
  <c r="DQ104" i="13" s="1"/>
  <c r="AJ103" i="13"/>
  <c r="DE103" i="13" s="1"/>
  <c r="AX113" i="13"/>
  <c r="DI113" i="13" s="1"/>
  <c r="BZ110" i="13"/>
  <c r="DQ110" i="13" s="1"/>
  <c r="BZ103" i="13"/>
  <c r="DQ103" i="13" s="1"/>
  <c r="AX108" i="13"/>
  <c r="DI108" i="13" s="1"/>
  <c r="BZ157" i="13"/>
  <c r="DQ157" i="13" s="1"/>
  <c r="BZ149" i="13"/>
  <c r="DQ149" i="13" s="1"/>
  <c r="BZ150" i="13"/>
  <c r="DQ150" i="13" s="1"/>
  <c r="V154" i="13"/>
  <c r="AX155" i="13"/>
  <c r="DI155" i="13" s="1"/>
  <c r="AJ113" i="13"/>
  <c r="DE113" i="13" s="1"/>
  <c r="BL104" i="13"/>
  <c r="DM104" i="13" s="1"/>
  <c r="BL103" i="13"/>
  <c r="DM103" i="13" s="1"/>
  <c r="AJ149" i="13"/>
  <c r="DE149" i="13" s="1"/>
  <c r="AX110" i="13"/>
  <c r="DI110" i="13" s="1"/>
  <c r="BL146" i="13"/>
  <c r="DM146" i="13" s="1"/>
  <c r="V155" i="13"/>
  <c r="AX151" i="13"/>
  <c r="DI151" i="13" s="1"/>
  <c r="AJ111" i="13"/>
  <c r="DE111" i="13" s="1"/>
  <c r="BZ108" i="13"/>
  <c r="DQ108" i="13" s="1"/>
  <c r="AX103" i="13"/>
  <c r="DI103" i="13" s="1"/>
  <c r="BZ107" i="13"/>
  <c r="DQ107" i="13" s="1"/>
  <c r="BL113" i="13"/>
  <c r="DM113" i="13" s="1"/>
  <c r="V114" i="13"/>
  <c r="AX107" i="13"/>
  <c r="DI107" i="13" s="1"/>
  <c r="BZ113" i="13"/>
  <c r="DQ113" i="13" s="1"/>
  <c r="V113" i="13"/>
  <c r="V111" i="13"/>
  <c r="AJ106" i="13"/>
  <c r="DE106" i="13" s="1"/>
  <c r="AJ147" i="13"/>
  <c r="DE147" i="13" s="1"/>
  <c r="V106" i="13"/>
  <c r="V147" i="13"/>
  <c r="BZ114" i="13"/>
  <c r="DQ114" i="13" s="1"/>
  <c r="AX112" i="13"/>
  <c r="DI112" i="13" s="1"/>
  <c r="V112" i="13"/>
  <c r="BL107" i="13"/>
  <c r="DM107" i="13" s="1"/>
  <c r="BZ154" i="13"/>
  <c r="DQ154" i="13" s="1"/>
  <c r="AX156" i="13"/>
  <c r="DI156" i="13" s="1"/>
  <c r="BL153" i="13"/>
  <c r="DM153" i="13" s="1"/>
  <c r="AJ110" i="13"/>
  <c r="DE110" i="13" s="1"/>
  <c r="AX109" i="13"/>
  <c r="DI109" i="13" s="1"/>
  <c r="AX153" i="13"/>
  <c r="DI153" i="13" s="1"/>
  <c r="BZ112" i="13"/>
  <c r="DQ112" i="13" s="1"/>
  <c r="BL152" i="13"/>
  <c r="DM152" i="13" s="1"/>
  <c r="V146" i="13"/>
  <c r="BZ155" i="13"/>
  <c r="DQ155" i="13" s="1"/>
  <c r="AJ157" i="13"/>
  <c r="DE157" i="13" s="1"/>
  <c r="AX114" i="13"/>
  <c r="DI114" i="13" s="1"/>
  <c r="BZ106" i="13"/>
  <c r="DQ106" i="13" s="1"/>
  <c r="BL151" i="13"/>
  <c r="DM151" i="13" s="1"/>
  <c r="AJ156" i="13"/>
  <c r="DE156" i="13" s="1"/>
  <c r="AX147" i="13"/>
  <c r="DI147" i="13" s="1"/>
  <c r="V107" i="13"/>
  <c r="AX105" i="13"/>
  <c r="DI105" i="13" s="1"/>
  <c r="AJ114" i="13"/>
  <c r="DE114" i="13" s="1"/>
  <c r="AJ105" i="13"/>
  <c r="DE105" i="13" s="1"/>
  <c r="BZ151" i="13"/>
  <c r="DQ151" i="13" s="1"/>
  <c r="AJ155" i="13"/>
  <c r="DE155" i="13" s="1"/>
  <c r="AX149" i="13"/>
  <c r="DI149" i="13" s="1"/>
  <c r="BZ147" i="13"/>
  <c r="DQ147" i="13" s="1"/>
  <c r="BZ146" i="13"/>
  <c r="DQ146" i="13" s="1"/>
  <c r="V103" i="13"/>
  <c r="AJ146" i="13"/>
  <c r="DE146" i="13" s="1"/>
  <c r="V109" i="13"/>
  <c r="AX104" i="13"/>
  <c r="DI104" i="13" s="1"/>
  <c r="BL157" i="13"/>
  <c r="DM157" i="13" s="1"/>
  <c r="V104" i="13"/>
  <c r="AJ108" i="13"/>
  <c r="DE108" i="13" s="1"/>
  <c r="AJ112" i="13"/>
  <c r="DE112" i="13" s="1"/>
  <c r="V150" i="13"/>
  <c r="AX111" i="13"/>
  <c r="DI111" i="13" s="1"/>
  <c r="BL110" i="13"/>
  <c r="DM110" i="13" s="1"/>
  <c r="BL109" i="13"/>
  <c r="DM109" i="13" s="1"/>
  <c r="BL108" i="13"/>
  <c r="DM108" i="13" s="1"/>
  <c r="BL147" i="13"/>
  <c r="DM147" i="13" s="1"/>
  <c r="AX154" i="13"/>
  <c r="DI154" i="13" s="1"/>
  <c r="AX152" i="13"/>
  <c r="DI152" i="13" s="1"/>
  <c r="BL148" i="13"/>
  <c r="DM148" i="13" s="1"/>
  <c r="BZ156" i="13"/>
  <c r="DQ156" i="13" s="1"/>
  <c r="BL150" i="13"/>
  <c r="DM150" i="13" s="1"/>
  <c r="BL156" i="13"/>
  <c r="DM156" i="13" s="1"/>
  <c r="BL149" i="13"/>
  <c r="DM149" i="13" s="1"/>
  <c r="V105" i="13"/>
  <c r="AX106" i="13"/>
  <c r="DI106" i="13" s="1"/>
  <c r="AX157" i="13"/>
  <c r="DI157" i="13" s="1"/>
  <c r="BZ153" i="13"/>
  <c r="DQ153" i="13" s="1"/>
  <c r="V156" i="13"/>
  <c r="V157" i="13"/>
  <c r="AX146" i="13"/>
  <c r="DI146" i="13" s="1"/>
  <c r="BL112" i="13"/>
  <c r="DM112" i="13" s="1"/>
  <c r="V149" i="13"/>
  <c r="BL106" i="13"/>
  <c r="DM106" i="13" s="1"/>
  <c r="AJ151" i="13"/>
  <c r="DE151" i="13" s="1"/>
  <c r="AJ104" i="13"/>
  <c r="DE104" i="13" s="1"/>
  <c r="BL111" i="13"/>
  <c r="DM111" i="13" s="1"/>
  <c r="AJ152" i="13"/>
  <c r="DE152" i="13" s="1"/>
  <c r="AJ148" i="13"/>
  <c r="DE148" i="13" s="1"/>
  <c r="V110" i="13"/>
  <c r="V153" i="13"/>
  <c r="BZ111" i="13"/>
  <c r="DQ111" i="13" s="1"/>
  <c r="BZ148" i="13"/>
  <c r="DQ148" i="13" s="1"/>
  <c r="BZ152" i="13"/>
  <c r="DQ152" i="13" s="1"/>
  <c r="BZ109" i="13"/>
  <c r="DQ109" i="13" s="1"/>
  <c r="V152" i="13"/>
  <c r="AJ153" i="13"/>
  <c r="DE153" i="13" s="1"/>
  <c r="V108" i="13"/>
  <c r="AX148" i="13"/>
  <c r="DI148" i="13" s="1"/>
  <c r="AX150" i="13"/>
  <c r="DI150" i="13" s="1"/>
  <c r="AJ107" i="13"/>
  <c r="DE107" i="13" s="1"/>
  <c r="BL114" i="13"/>
  <c r="DM114" i="13" s="1"/>
  <c r="BL154" i="13"/>
  <c r="DM154" i="13" s="1"/>
  <c r="BL155" i="13"/>
  <c r="DM155" i="13" s="1"/>
  <c r="V148" i="13"/>
  <c r="BZ105" i="13"/>
  <c r="DQ105" i="13" s="1"/>
  <c r="BL105" i="13"/>
  <c r="DM105" i="13" s="1"/>
  <c r="AJ154" i="13"/>
  <c r="DE154" i="13" s="1"/>
  <c r="V151" i="13"/>
  <c r="AJ150" i="13"/>
  <c r="DE150" i="13" s="1"/>
  <c r="AJ109" i="13"/>
  <c r="DE109" i="13" s="1"/>
  <c r="V158" i="13"/>
  <c r="V115" i="13"/>
  <c r="BZ115" i="13"/>
  <c r="DQ115" i="13" s="1"/>
  <c r="AJ158" i="13"/>
  <c r="DE158" i="13" s="1"/>
  <c r="BL115" i="13"/>
  <c r="DM115" i="13" s="1"/>
  <c r="AJ115" i="13"/>
  <c r="DE115" i="13" s="1"/>
  <c r="BL158" i="13"/>
  <c r="DM158" i="13" s="1"/>
  <c r="BZ158" i="13"/>
  <c r="DQ158" i="13" s="1"/>
  <c r="AX158" i="13"/>
  <c r="DI158" i="13" s="1"/>
  <c r="AX115" i="13"/>
  <c r="DI115" i="13" s="1"/>
  <c r="AX62" i="12"/>
  <c r="DI62" i="12" s="1"/>
  <c r="V64" i="12"/>
  <c r="V63" i="12"/>
  <c r="BL62" i="12"/>
  <c r="DM62" i="12" s="1"/>
  <c r="AX66" i="12"/>
  <c r="DI66" i="12" s="1"/>
  <c r="V71" i="12"/>
  <c r="BL67" i="12"/>
  <c r="DM67" i="12" s="1"/>
  <c r="V68" i="12"/>
  <c r="BZ73" i="12"/>
  <c r="DQ73" i="12" s="1"/>
  <c r="BL68" i="12"/>
  <c r="DM68" i="12" s="1"/>
  <c r="AJ68" i="12"/>
  <c r="DE68" i="12" s="1"/>
  <c r="AX68" i="12"/>
  <c r="DI68" i="12" s="1"/>
  <c r="BZ69" i="12"/>
  <c r="DQ69" i="12" s="1"/>
  <c r="V65" i="12"/>
  <c r="BZ67" i="12"/>
  <c r="DQ67" i="12" s="1"/>
  <c r="BL65" i="12"/>
  <c r="DM65" i="12" s="1"/>
  <c r="AJ67" i="12"/>
  <c r="DE67" i="12" s="1"/>
  <c r="BL72" i="12"/>
  <c r="DM72" i="12" s="1"/>
  <c r="AJ65" i="12"/>
  <c r="DE65" i="12" s="1"/>
  <c r="BZ72" i="12"/>
  <c r="DQ72" i="12" s="1"/>
  <c r="AX65" i="12"/>
  <c r="DI65" i="12" s="1"/>
  <c r="V73" i="12"/>
  <c r="AJ73" i="12"/>
  <c r="DE73" i="12" s="1"/>
  <c r="BL64" i="12"/>
  <c r="DM64" i="12" s="1"/>
  <c r="BL70" i="12"/>
  <c r="DM70" i="12" s="1"/>
  <c r="AJ62" i="12"/>
  <c r="DE62" i="12" s="1"/>
  <c r="AX67" i="12"/>
  <c r="DI67" i="12" s="1"/>
  <c r="BL69" i="12"/>
  <c r="DM69" i="12" s="1"/>
  <c r="BZ62" i="12"/>
  <c r="AX71" i="12"/>
  <c r="DI71" i="12" s="1"/>
  <c r="BZ66" i="12"/>
  <c r="DQ66" i="12" s="1"/>
  <c r="AX70" i="12"/>
  <c r="DI70" i="12" s="1"/>
  <c r="BL63" i="12"/>
  <c r="DM63" i="12" s="1"/>
  <c r="BZ68" i="12"/>
  <c r="DQ68" i="12" s="1"/>
  <c r="AX64" i="12"/>
  <c r="DI64" i="12" s="1"/>
  <c r="BZ64" i="12"/>
  <c r="DQ64" i="12" s="1"/>
  <c r="AJ63" i="12"/>
  <c r="DE63" i="12" s="1"/>
  <c r="V72" i="12"/>
  <c r="V67" i="12"/>
  <c r="AJ66" i="12"/>
  <c r="DE66" i="12" s="1"/>
  <c r="V62" i="12"/>
  <c r="DA62" i="12" s="1"/>
  <c r="V70" i="12"/>
  <c r="V69" i="12"/>
  <c r="AX69" i="12"/>
  <c r="DI69" i="12" s="1"/>
  <c r="BZ71" i="12"/>
  <c r="DQ71" i="12" s="1"/>
  <c r="BZ63" i="12"/>
  <c r="DQ63" i="12" s="1"/>
  <c r="BL71" i="12"/>
  <c r="DM71" i="12" s="1"/>
  <c r="AJ64" i="12"/>
  <c r="DE64" i="12" s="1"/>
  <c r="AX63" i="12"/>
  <c r="DI63" i="12" s="1"/>
  <c r="AJ70" i="12"/>
  <c r="DE70" i="12" s="1"/>
  <c r="BL73" i="12"/>
  <c r="DM73" i="12" s="1"/>
  <c r="BL66" i="12"/>
  <c r="DM66" i="12" s="1"/>
  <c r="BZ65" i="12"/>
  <c r="DQ65" i="12" s="1"/>
  <c r="AX72" i="12"/>
  <c r="DI72" i="12" s="1"/>
  <c r="AJ69" i="12"/>
  <c r="DE69" i="12" s="1"/>
  <c r="AJ72" i="12"/>
  <c r="DE72" i="12" s="1"/>
  <c r="AJ71" i="12"/>
  <c r="DE71" i="12" s="1"/>
  <c r="V66" i="12"/>
  <c r="AX73" i="12"/>
  <c r="DI73" i="12" s="1"/>
  <c r="BZ70" i="12"/>
  <c r="DQ70" i="12" s="1"/>
  <c r="V95" i="12"/>
  <c r="AJ94" i="12"/>
  <c r="DE94" i="12" s="1"/>
  <c r="V88" i="12"/>
  <c r="V91" i="12"/>
  <c r="BZ93" i="12"/>
  <c r="DQ93" i="12" s="1"/>
  <c r="AJ90" i="12"/>
  <c r="DE90" i="12" s="1"/>
  <c r="BL94" i="12"/>
  <c r="DM94" i="12" s="1"/>
  <c r="BZ92" i="12"/>
  <c r="DQ92" i="12" s="1"/>
  <c r="AJ88" i="12"/>
  <c r="DE88" i="12" s="1"/>
  <c r="AX99" i="12"/>
  <c r="DI99" i="12" s="1"/>
  <c r="V98" i="12"/>
  <c r="V94" i="12"/>
  <c r="BZ95" i="12"/>
  <c r="DQ95" i="12" s="1"/>
  <c r="BL95" i="12"/>
  <c r="DM95" i="12" s="1"/>
  <c r="V92" i="12"/>
  <c r="BZ88" i="12"/>
  <c r="DQ88" i="12" s="1"/>
  <c r="BL92" i="12"/>
  <c r="DM92" i="12" s="1"/>
  <c r="BZ96" i="12"/>
  <c r="DQ96" i="12" s="1"/>
  <c r="V96" i="12"/>
  <c r="BZ97" i="12"/>
  <c r="DQ97" i="12" s="1"/>
  <c r="AX95" i="12"/>
  <c r="DI95" i="12" s="1"/>
  <c r="AJ98" i="12"/>
  <c r="DE98" i="12" s="1"/>
  <c r="BZ91" i="12"/>
  <c r="DQ91" i="12" s="1"/>
  <c r="V90" i="12"/>
  <c r="AJ96" i="12"/>
  <c r="DE96" i="12" s="1"/>
  <c r="AX93" i="12"/>
  <c r="DI93" i="12" s="1"/>
  <c r="AX91" i="12"/>
  <c r="DI91" i="12" s="1"/>
  <c r="BL91" i="12"/>
  <c r="DM91" i="12" s="1"/>
  <c r="BL88" i="12"/>
  <c r="DM88" i="12" s="1"/>
  <c r="BZ94" i="12"/>
  <c r="DQ94" i="12" s="1"/>
  <c r="AJ95" i="12"/>
  <c r="DE95" i="12" s="1"/>
  <c r="BZ98" i="12"/>
  <c r="DQ98" i="12" s="1"/>
  <c r="BL90" i="12"/>
  <c r="DM90" i="12" s="1"/>
  <c r="AX88" i="12"/>
  <c r="DI88" i="12" s="1"/>
  <c r="BL93" i="12"/>
  <c r="DM93" i="12" s="1"/>
  <c r="BL98" i="12"/>
  <c r="DM98" i="12" s="1"/>
  <c r="AJ99" i="12"/>
  <c r="DE99" i="12" s="1"/>
  <c r="BL97" i="12"/>
  <c r="DM97" i="12" s="1"/>
  <c r="BL89" i="12"/>
  <c r="DM89" i="12" s="1"/>
  <c r="AJ97" i="12"/>
  <c r="DE97" i="12" s="1"/>
  <c r="V97" i="12"/>
  <c r="BZ100" i="12"/>
  <c r="DQ100" i="12" s="1"/>
  <c r="AX90" i="12"/>
  <c r="DI90" i="12" s="1"/>
  <c r="AX89" i="12"/>
  <c r="DI89" i="12" s="1"/>
  <c r="V93" i="12"/>
  <c r="V89" i="12"/>
  <c r="V99" i="12"/>
  <c r="AJ91" i="12"/>
  <c r="DE91" i="12" s="1"/>
  <c r="AJ89" i="12"/>
  <c r="DE89" i="12" s="1"/>
  <c r="AX92" i="12"/>
  <c r="DI92" i="12" s="1"/>
  <c r="BL99" i="12"/>
  <c r="DM99" i="12" s="1"/>
  <c r="AJ93" i="12"/>
  <c r="DE93" i="12" s="1"/>
  <c r="V100" i="12"/>
  <c r="AX94" i="12"/>
  <c r="DI94" i="12" s="1"/>
  <c r="AX96" i="12"/>
  <c r="DI96" i="12" s="1"/>
  <c r="AJ92" i="12"/>
  <c r="DE92" i="12" s="1"/>
  <c r="BL96" i="12"/>
  <c r="DM96" i="12" s="1"/>
  <c r="AX97" i="12"/>
  <c r="DI97" i="12" s="1"/>
  <c r="AX98" i="12"/>
  <c r="DI98" i="12" s="1"/>
  <c r="BZ99" i="12"/>
  <c r="DQ99" i="12" s="1"/>
  <c r="BZ89" i="12"/>
  <c r="DQ89" i="12" s="1"/>
  <c r="BZ90" i="12"/>
  <c r="DQ90" i="12" s="1"/>
  <c r="BZ74" i="12"/>
  <c r="DQ74" i="12" s="1"/>
  <c r="AJ100" i="12"/>
  <c r="DE100" i="12" s="1"/>
  <c r="AX74" i="12"/>
  <c r="DI74" i="12" s="1"/>
  <c r="V74" i="12"/>
  <c r="BL100" i="12"/>
  <c r="DM100" i="12" s="1"/>
  <c r="BL74" i="12"/>
  <c r="DM74" i="12" s="1"/>
  <c r="AJ74" i="12"/>
  <c r="DE74" i="12" s="1"/>
  <c r="AX100" i="12"/>
  <c r="DI100" i="12" s="1"/>
  <c r="BM17" i="15"/>
  <c r="CA60" i="15"/>
  <c r="AK60" i="15"/>
  <c r="W60" i="15"/>
  <c r="CO60" i="15" s="1"/>
  <c r="AY60" i="15"/>
  <c r="CA17" i="15"/>
  <c r="BM60" i="15"/>
  <c r="W17" i="15"/>
  <c r="AK17" i="15"/>
  <c r="AY17" i="15"/>
  <c r="CA82" i="14"/>
  <c r="AY84" i="14"/>
  <c r="AK79" i="14"/>
  <c r="W38" i="14"/>
  <c r="W84" i="14"/>
  <c r="W85" i="14"/>
  <c r="BM82" i="14"/>
  <c r="AK84" i="14"/>
  <c r="W79" i="14"/>
  <c r="CO79" i="14" s="1"/>
  <c r="AY36" i="14"/>
  <c r="CA80" i="14"/>
  <c r="AY82" i="14"/>
  <c r="CA85" i="14"/>
  <c r="BM80" i="14"/>
  <c r="AK82" i="14"/>
  <c r="AK37" i="14"/>
  <c r="AY79" i="14"/>
  <c r="BM85" i="14"/>
  <c r="AY80" i="14"/>
  <c r="W82" i="14"/>
  <c r="CO82" i="14" s="1"/>
  <c r="CA83" i="14"/>
  <c r="AY85" i="14"/>
  <c r="AK80" i="14"/>
  <c r="AK41" i="14"/>
  <c r="BM83" i="14"/>
  <c r="AK85" i="14"/>
  <c r="W80" i="14"/>
  <c r="CA81" i="14"/>
  <c r="AY83" i="14"/>
  <c r="W83" i="14"/>
  <c r="W81" i="14"/>
  <c r="BM81" i="14"/>
  <c r="AK83" i="14"/>
  <c r="CA79" i="14"/>
  <c r="AY81" i="14"/>
  <c r="W39" i="14"/>
  <c r="BM84" i="14"/>
  <c r="CA84" i="14"/>
  <c r="BM79" i="14"/>
  <c r="AK81" i="14"/>
  <c r="AY38" i="14"/>
  <c r="BM40" i="14"/>
  <c r="CA38" i="14"/>
  <c r="AY41" i="14"/>
  <c r="CA40" i="14"/>
  <c r="CA39" i="14"/>
  <c r="CA42" i="14"/>
  <c r="W41" i="14"/>
  <c r="CA37" i="14"/>
  <c r="W37" i="14"/>
  <c r="CO37" i="14" s="1"/>
  <c r="AK42" i="14"/>
  <c r="AK39" i="14"/>
  <c r="AY39" i="14"/>
  <c r="AK36" i="14"/>
  <c r="W40" i="14"/>
  <c r="CA41" i="14"/>
  <c r="BM37" i="14"/>
  <c r="W42" i="14"/>
  <c r="BM39" i="14"/>
  <c r="BM38" i="14"/>
  <c r="AY37" i="14"/>
  <c r="BM36" i="14"/>
  <c r="AY40" i="14"/>
  <c r="AK40" i="14"/>
  <c r="W36" i="14"/>
  <c r="AK38" i="14"/>
  <c r="CA36" i="14"/>
  <c r="BM41" i="14"/>
  <c r="BM42" i="14"/>
  <c r="AY42" i="14"/>
  <c r="AY155" i="13"/>
  <c r="CA109" i="13"/>
  <c r="W108" i="13"/>
  <c r="BM105" i="13"/>
  <c r="AY112" i="13"/>
  <c r="AK105" i="13"/>
  <c r="AK154" i="13"/>
  <c r="W110" i="13"/>
  <c r="AY111" i="13"/>
  <c r="AK109" i="13"/>
  <c r="W151" i="13"/>
  <c r="CA148" i="13"/>
  <c r="CA104" i="13"/>
  <c r="CA111" i="13"/>
  <c r="CA152" i="13"/>
  <c r="AY148" i="13"/>
  <c r="W114" i="13"/>
  <c r="AK103" i="13"/>
  <c r="W103" i="13"/>
  <c r="CA110" i="13"/>
  <c r="AY104" i="13"/>
  <c r="CA157" i="13"/>
  <c r="BM104" i="13"/>
  <c r="CA154" i="13"/>
  <c r="AK150" i="13"/>
  <c r="BM155" i="13"/>
  <c r="CA149" i="13"/>
  <c r="CA147" i="13"/>
  <c r="CA150" i="13"/>
  <c r="AY154" i="13"/>
  <c r="W154" i="13"/>
  <c r="AY150" i="13"/>
  <c r="AK113" i="13"/>
  <c r="BM150" i="13"/>
  <c r="AY110" i="13"/>
  <c r="BM103" i="13"/>
  <c r="W155" i="13"/>
  <c r="AY152" i="13"/>
  <c r="BM114" i="13"/>
  <c r="CA153" i="13"/>
  <c r="BM109" i="13"/>
  <c r="AK147" i="13"/>
  <c r="BM146" i="13"/>
  <c r="CA114" i="13"/>
  <c r="AY151" i="13"/>
  <c r="AK111" i="13"/>
  <c r="BM106" i="13"/>
  <c r="CA108" i="13"/>
  <c r="AY103" i="13"/>
  <c r="W105" i="13"/>
  <c r="CA112" i="13"/>
  <c r="AK107" i="13"/>
  <c r="W111" i="13"/>
  <c r="AY107" i="13"/>
  <c r="CA113" i="13"/>
  <c r="W113" i="13"/>
  <c r="AK106" i="13"/>
  <c r="CA155" i="13"/>
  <c r="BM111" i="13"/>
  <c r="W106" i="13"/>
  <c r="W147" i="13"/>
  <c r="W153" i="13"/>
  <c r="BM113" i="13"/>
  <c r="AY108" i="13"/>
  <c r="CA103" i="13"/>
  <c r="BM157" i="13"/>
  <c r="BM153" i="13"/>
  <c r="CA146" i="13"/>
  <c r="AY109" i="13"/>
  <c r="AY153" i="13"/>
  <c r="BM152" i="13"/>
  <c r="BM107" i="13"/>
  <c r="CA105" i="13"/>
  <c r="AK151" i="13"/>
  <c r="AY156" i="13"/>
  <c r="AK157" i="13"/>
  <c r="AY114" i="13"/>
  <c r="CA106" i="13"/>
  <c r="AY149" i="13"/>
  <c r="BM151" i="13"/>
  <c r="AK156" i="13"/>
  <c r="BM148" i="13"/>
  <c r="AY147" i="13"/>
  <c r="W146" i="13"/>
  <c r="W107" i="13"/>
  <c r="AY105" i="13"/>
  <c r="CA151" i="13"/>
  <c r="AK155" i="13"/>
  <c r="AK108" i="13"/>
  <c r="AY146" i="13"/>
  <c r="W150" i="13"/>
  <c r="W104" i="13"/>
  <c r="CO104" i="13" s="1"/>
  <c r="AK112" i="13"/>
  <c r="AK114" i="13"/>
  <c r="BM110" i="13"/>
  <c r="BM108" i="13"/>
  <c r="BM147" i="13"/>
  <c r="AK149" i="13"/>
  <c r="AK146" i="13"/>
  <c r="W109" i="13"/>
  <c r="CO109" i="13" s="1"/>
  <c r="CA156" i="13"/>
  <c r="W152" i="13"/>
  <c r="CO152" i="13" s="1"/>
  <c r="BM149" i="13"/>
  <c r="AY106" i="13"/>
  <c r="BM156" i="13"/>
  <c r="AK110" i="13"/>
  <c r="AK153" i="13"/>
  <c r="AY157" i="13"/>
  <c r="CA107" i="13"/>
  <c r="AY113" i="13"/>
  <c r="W156" i="13"/>
  <c r="CO156" i="13" s="1"/>
  <c r="W157" i="13"/>
  <c r="BM112" i="13"/>
  <c r="W149" i="13"/>
  <c r="AK104" i="13"/>
  <c r="AK152" i="13"/>
  <c r="AK148" i="13"/>
  <c r="BM154" i="13"/>
  <c r="W148" i="13"/>
  <c r="W112" i="13"/>
  <c r="AK158" i="13"/>
  <c r="W158" i="13"/>
  <c r="CO158" i="13" s="1"/>
  <c r="W115" i="13"/>
  <c r="BM115" i="13"/>
  <c r="CA115" i="13"/>
  <c r="AY158" i="13"/>
  <c r="AK115" i="13"/>
  <c r="BM158" i="13"/>
  <c r="AY115" i="13"/>
  <c r="CA158" i="13"/>
  <c r="BM62" i="12"/>
  <c r="AY62" i="12"/>
  <c r="W62" i="12"/>
  <c r="BM63" i="12"/>
  <c r="AK65" i="12"/>
  <c r="W65" i="12"/>
  <c r="CO65" i="12" s="1"/>
  <c r="AK69" i="12"/>
  <c r="CA69" i="12"/>
  <c r="W73" i="12"/>
  <c r="AY64" i="12"/>
  <c r="W66" i="12"/>
  <c r="AK72" i="12"/>
  <c r="AK73" i="12"/>
  <c r="AK67" i="12"/>
  <c r="CA62" i="12"/>
  <c r="AK68" i="12"/>
  <c r="AY72" i="12"/>
  <c r="CA68" i="12"/>
  <c r="W64" i="12"/>
  <c r="AY66" i="12"/>
  <c r="AK70" i="12"/>
  <c r="CA66" i="12"/>
  <c r="W68" i="12"/>
  <c r="BM73" i="12"/>
  <c r="CA65" i="12"/>
  <c r="AY73" i="12"/>
  <c r="CA64" i="12"/>
  <c r="AK66" i="12"/>
  <c r="BM67" i="12"/>
  <c r="BM64" i="12"/>
  <c r="AY71" i="12"/>
  <c r="CA71" i="12"/>
  <c r="BM72" i="12"/>
  <c r="W70" i="12"/>
  <c r="W71" i="12"/>
  <c r="BM66" i="12"/>
  <c r="AK63" i="12"/>
  <c r="AY69" i="12"/>
  <c r="BM71" i="12"/>
  <c r="AK71" i="12"/>
  <c r="BM65" i="12"/>
  <c r="AY70" i="12"/>
  <c r="AY63" i="12"/>
  <c r="AY68" i="12"/>
  <c r="CA63" i="12"/>
  <c r="BM70" i="12"/>
  <c r="AY65" i="12"/>
  <c r="W72" i="12"/>
  <c r="W69" i="12"/>
  <c r="AY67" i="12"/>
  <c r="BM68" i="12"/>
  <c r="CA67" i="12"/>
  <c r="W63" i="12"/>
  <c r="CO63" i="12" s="1"/>
  <c r="CA73" i="12"/>
  <c r="W67" i="12"/>
  <c r="AK64" i="12"/>
  <c r="CA72" i="12"/>
  <c r="CA70" i="12"/>
  <c r="AK62" i="12"/>
  <c r="BM69" i="12"/>
  <c r="AY99" i="12"/>
  <c r="AK94" i="12"/>
  <c r="W89" i="12"/>
  <c r="AY89" i="12"/>
  <c r="AY91" i="12"/>
  <c r="CA89" i="12"/>
  <c r="CA92" i="12"/>
  <c r="W98" i="12"/>
  <c r="W94" i="12"/>
  <c r="AK99" i="12"/>
  <c r="BM91" i="12"/>
  <c r="CA88" i="12"/>
  <c r="AK98" i="12"/>
  <c r="W90" i="12"/>
  <c r="AY95" i="12"/>
  <c r="CA93" i="12"/>
  <c r="AY92" i="12"/>
  <c r="CA96" i="12"/>
  <c r="AK90" i="12"/>
  <c r="AK91" i="12"/>
  <c r="W91" i="12"/>
  <c r="W95" i="12"/>
  <c r="AK92" i="12"/>
  <c r="AY98" i="12"/>
  <c r="AK88" i="12"/>
  <c r="W92" i="12"/>
  <c r="AY93" i="12"/>
  <c r="AY90" i="12"/>
  <c r="W96" i="12"/>
  <c r="CA94" i="12"/>
  <c r="AY96" i="12"/>
  <c r="BM95" i="12"/>
  <c r="CA98" i="12"/>
  <c r="CA99" i="12"/>
  <c r="BM90" i="12"/>
  <c r="AK89" i="12"/>
  <c r="W99" i="12"/>
  <c r="AK93" i="12"/>
  <c r="CA95" i="12"/>
  <c r="BM97" i="12"/>
  <c r="W97" i="12"/>
  <c r="AK95" i="12"/>
  <c r="CA100" i="12"/>
  <c r="BM89" i="12"/>
  <c r="W93" i="12"/>
  <c r="BM93" i="12"/>
  <c r="CA91" i="12"/>
  <c r="AK97" i="12"/>
  <c r="BM98" i="12"/>
  <c r="W100" i="12"/>
  <c r="AY97" i="12"/>
  <c r="BM88" i="12"/>
  <c r="CA90" i="12"/>
  <c r="CA97" i="12"/>
  <c r="AY88" i="12"/>
  <c r="BM94" i="12"/>
  <c r="AK96" i="12"/>
  <c r="W88" i="12"/>
  <c r="BM92" i="12"/>
  <c r="BM96" i="12"/>
  <c r="BM99" i="12"/>
  <c r="AY94" i="12"/>
  <c r="AK100" i="12"/>
  <c r="AY74" i="12"/>
  <c r="W74" i="12"/>
  <c r="BM74" i="12"/>
  <c r="AK74" i="12"/>
  <c r="AY100" i="12"/>
  <c r="BM100" i="12"/>
  <c r="CA74" i="12"/>
  <c r="AZ60" i="15"/>
  <c r="AL60" i="15"/>
  <c r="X17" i="15"/>
  <c r="CB60" i="15"/>
  <c r="BN60" i="15"/>
  <c r="X60" i="15"/>
  <c r="BN17" i="15"/>
  <c r="AL17" i="15"/>
  <c r="AZ17" i="15"/>
  <c r="CB17" i="15"/>
  <c r="BN36" i="14"/>
  <c r="BN82" i="14"/>
  <c r="AL84" i="14"/>
  <c r="X79" i="14"/>
  <c r="CB37" i="14"/>
  <c r="X83" i="14"/>
  <c r="CB80" i="14"/>
  <c r="AZ82" i="14"/>
  <c r="X84" i="14"/>
  <c r="CB85" i="14"/>
  <c r="BN80" i="14"/>
  <c r="AL82" i="14"/>
  <c r="BN85" i="14"/>
  <c r="AZ80" i="14"/>
  <c r="X82" i="14"/>
  <c r="CB41" i="14"/>
  <c r="CB36" i="14"/>
  <c r="CB83" i="14"/>
  <c r="AZ85" i="14"/>
  <c r="AL80" i="14"/>
  <c r="BN40" i="14"/>
  <c r="BN83" i="14"/>
  <c r="AL85" i="14"/>
  <c r="X80" i="14"/>
  <c r="X81" i="14"/>
  <c r="CB81" i="14"/>
  <c r="AZ83" i="14"/>
  <c r="X85" i="14"/>
  <c r="CB40" i="14"/>
  <c r="BN81" i="14"/>
  <c r="AL83" i="14"/>
  <c r="CB79" i="14"/>
  <c r="AZ81" i="14"/>
  <c r="CB84" i="14"/>
  <c r="BN79" i="14"/>
  <c r="AL81" i="14"/>
  <c r="BN84" i="14"/>
  <c r="AZ79" i="14"/>
  <c r="CB82" i="14"/>
  <c r="AZ84" i="14"/>
  <c r="AL79" i="14"/>
  <c r="BN39" i="14"/>
  <c r="AL42" i="14"/>
  <c r="BN41" i="14"/>
  <c r="X36" i="14"/>
  <c r="AZ39" i="14"/>
  <c r="X41" i="14"/>
  <c r="CB39" i="14"/>
  <c r="X37" i="14"/>
  <c r="CB38" i="14"/>
  <c r="AL39" i="14"/>
  <c r="AL38" i="14"/>
  <c r="X42" i="14"/>
  <c r="AL41" i="14"/>
  <c r="AZ36" i="14"/>
  <c r="AZ37" i="14"/>
  <c r="X39" i="14"/>
  <c r="AZ38" i="14"/>
  <c r="AL40" i="14"/>
  <c r="X40" i="14"/>
  <c r="AZ40" i="14"/>
  <c r="BN37" i="14"/>
  <c r="BN38" i="14"/>
  <c r="AL36" i="14"/>
  <c r="X38" i="14"/>
  <c r="CB42" i="14"/>
  <c r="AZ41" i="14"/>
  <c r="AL37" i="14"/>
  <c r="BN42" i="14"/>
  <c r="AZ42" i="14"/>
  <c r="AL104" i="13"/>
  <c r="AL152" i="13"/>
  <c r="X156" i="13"/>
  <c r="BN112" i="13"/>
  <c r="AL148" i="13"/>
  <c r="CB152" i="13"/>
  <c r="BN149" i="13"/>
  <c r="AL110" i="13"/>
  <c r="X106" i="13"/>
  <c r="AL153" i="13"/>
  <c r="X108" i="13"/>
  <c r="AZ148" i="13"/>
  <c r="X155" i="13"/>
  <c r="BN114" i="13"/>
  <c r="BN154" i="13"/>
  <c r="AL151" i="13"/>
  <c r="X112" i="13"/>
  <c r="AZ155" i="13"/>
  <c r="BN105" i="13"/>
  <c r="AZ112" i="13"/>
  <c r="CB103" i="13"/>
  <c r="X148" i="13"/>
  <c r="CP148" i="13" s="1"/>
  <c r="CB148" i="13"/>
  <c r="AL154" i="13"/>
  <c r="X110" i="13"/>
  <c r="AZ111" i="13"/>
  <c r="CB111" i="13"/>
  <c r="AL109" i="13"/>
  <c r="X151" i="13"/>
  <c r="CB146" i="13"/>
  <c r="CB104" i="13"/>
  <c r="BN151" i="13"/>
  <c r="CB106" i="13"/>
  <c r="X147" i="13"/>
  <c r="BN148" i="13"/>
  <c r="AL150" i="13"/>
  <c r="CB110" i="13"/>
  <c r="AZ150" i="13"/>
  <c r="CB154" i="13"/>
  <c r="BN155" i="13"/>
  <c r="CB114" i="13"/>
  <c r="CB149" i="13"/>
  <c r="AZ110" i="13"/>
  <c r="CB147" i="13"/>
  <c r="CB150" i="13"/>
  <c r="AZ154" i="13"/>
  <c r="X154" i="13"/>
  <c r="AZ146" i="13"/>
  <c r="AL113" i="13"/>
  <c r="BN150" i="13"/>
  <c r="BN103" i="13"/>
  <c r="AZ152" i="13"/>
  <c r="AZ156" i="13"/>
  <c r="CB153" i="13"/>
  <c r="BN109" i="13"/>
  <c r="BN146" i="13"/>
  <c r="AZ151" i="13"/>
  <c r="CB108" i="13"/>
  <c r="CB155" i="13"/>
  <c r="AZ103" i="13"/>
  <c r="X111" i="13"/>
  <c r="X105" i="13"/>
  <c r="AZ149" i="13"/>
  <c r="AZ107" i="13"/>
  <c r="AL107" i="13"/>
  <c r="AL111" i="13"/>
  <c r="BN107" i="13"/>
  <c r="CB113" i="13"/>
  <c r="X113" i="13"/>
  <c r="AL106" i="13"/>
  <c r="AZ108" i="13"/>
  <c r="BN111" i="13"/>
  <c r="BN113" i="13"/>
  <c r="AZ113" i="13"/>
  <c r="CB112" i="13"/>
  <c r="X152" i="13"/>
  <c r="X153" i="13"/>
  <c r="X146" i="13"/>
  <c r="X157" i="13"/>
  <c r="CP157" i="13" s="1"/>
  <c r="BN157" i="13"/>
  <c r="BN153" i="13"/>
  <c r="AZ109" i="13"/>
  <c r="AZ153" i="13"/>
  <c r="BN152" i="13"/>
  <c r="CB105" i="13"/>
  <c r="AL157" i="13"/>
  <c r="AZ114" i="13"/>
  <c r="AL103" i="13"/>
  <c r="AL156" i="13"/>
  <c r="AZ147" i="13"/>
  <c r="X109" i="13"/>
  <c r="X107" i="13"/>
  <c r="AZ105" i="13"/>
  <c r="AZ104" i="13"/>
  <c r="AL105" i="13"/>
  <c r="CB151" i="13"/>
  <c r="X103" i="13"/>
  <c r="AL147" i="13"/>
  <c r="AL155" i="13"/>
  <c r="X114" i="13"/>
  <c r="AL108" i="13"/>
  <c r="X150" i="13"/>
  <c r="AL114" i="13"/>
  <c r="BN104" i="13"/>
  <c r="X149" i="13"/>
  <c r="X104" i="13"/>
  <c r="BN110" i="13"/>
  <c r="BN108" i="13"/>
  <c r="BN147" i="13"/>
  <c r="AL149" i="13"/>
  <c r="AL146" i="13"/>
  <c r="BN106" i="13"/>
  <c r="AZ106" i="13"/>
  <c r="CB156" i="13"/>
  <c r="AL112" i="13"/>
  <c r="BN156" i="13"/>
  <c r="CB157" i="13"/>
  <c r="CB109" i="13"/>
  <c r="AZ157" i="13"/>
  <c r="CB107" i="13"/>
  <c r="CB158" i="13"/>
  <c r="X158" i="13"/>
  <c r="CP158" i="13" s="1"/>
  <c r="AL158" i="13"/>
  <c r="CB115" i="13"/>
  <c r="X115" i="13"/>
  <c r="AZ158" i="13"/>
  <c r="AL115" i="13"/>
  <c r="BN158" i="13"/>
  <c r="AZ115" i="13"/>
  <c r="BN115" i="13"/>
  <c r="AZ62" i="12"/>
  <c r="X62" i="12"/>
  <c r="CP62" i="12" s="1"/>
  <c r="X64" i="12"/>
  <c r="BN62" i="12"/>
  <c r="AZ68" i="12"/>
  <c r="CB71" i="12"/>
  <c r="AZ66" i="12"/>
  <c r="AL73" i="12"/>
  <c r="BN63" i="12"/>
  <c r="AL70" i="12"/>
  <c r="BN72" i="12"/>
  <c r="X67" i="12"/>
  <c r="CP67" i="12" s="1"/>
  <c r="BN69" i="12"/>
  <c r="AL71" i="12"/>
  <c r="AZ63" i="12"/>
  <c r="X66" i="12"/>
  <c r="AL63" i="12"/>
  <c r="X72" i="12"/>
  <c r="CB69" i="12"/>
  <c r="AL67" i="12"/>
  <c r="AL65" i="12"/>
  <c r="AL68" i="12"/>
  <c r="X65" i="12"/>
  <c r="CB73" i="12"/>
  <c r="BN67" i="12"/>
  <c r="CB67" i="12"/>
  <c r="CB68" i="12"/>
  <c r="X70" i="12"/>
  <c r="BN64" i="12"/>
  <c r="X63" i="12"/>
  <c r="CB62" i="12"/>
  <c r="CB66" i="12"/>
  <c r="AL69" i="12"/>
  <c r="AZ69" i="12"/>
  <c r="BN65" i="12"/>
  <c r="X71" i="12"/>
  <c r="CB72" i="12"/>
  <c r="AL66" i="12"/>
  <c r="BN68" i="12"/>
  <c r="CB64" i="12"/>
  <c r="AZ73" i="12"/>
  <c r="BN66" i="12"/>
  <c r="X73" i="12"/>
  <c r="AZ67" i="12"/>
  <c r="BN70" i="12"/>
  <c r="CB63" i="12"/>
  <c r="AL72" i="12"/>
  <c r="CB70" i="12"/>
  <c r="BN73" i="12"/>
  <c r="AZ65" i="12"/>
  <c r="AZ64" i="12"/>
  <c r="BN71" i="12"/>
  <c r="X68" i="12"/>
  <c r="AL62" i="12"/>
  <c r="AZ72" i="12"/>
  <c r="AZ71" i="12"/>
  <c r="AZ70" i="12"/>
  <c r="AL64" i="12"/>
  <c r="X69" i="12"/>
  <c r="CB65" i="12"/>
  <c r="CB94" i="12"/>
  <c r="X91" i="12"/>
  <c r="CP91" i="12" s="1"/>
  <c r="CB92" i="12"/>
  <c r="AZ97" i="12"/>
  <c r="AZ90" i="12"/>
  <c r="BN99" i="12"/>
  <c r="X98" i="12"/>
  <c r="X94" i="12"/>
  <c r="X90" i="12"/>
  <c r="AL90" i="12"/>
  <c r="X99" i="12"/>
  <c r="CB98" i="12"/>
  <c r="X92" i="12"/>
  <c r="X95" i="12"/>
  <c r="CP95" i="12" s="1"/>
  <c r="BN98" i="12"/>
  <c r="AZ95" i="12"/>
  <c r="AL98" i="12"/>
  <c r="AL94" i="12"/>
  <c r="CB90" i="12"/>
  <c r="BN91" i="12"/>
  <c r="CB96" i="12"/>
  <c r="CB88" i="12"/>
  <c r="AZ92" i="12"/>
  <c r="AL99" i="12"/>
  <c r="X88" i="12"/>
  <c r="AZ99" i="12"/>
  <c r="BN94" i="12"/>
  <c r="AZ88" i="12"/>
  <c r="AZ89" i="12"/>
  <c r="BN88" i="12"/>
  <c r="X93" i="12"/>
  <c r="BN97" i="12"/>
  <c r="CB89" i="12"/>
  <c r="AL91" i="12"/>
  <c r="X89" i="12"/>
  <c r="AZ91" i="12"/>
  <c r="BN96" i="12"/>
  <c r="AL89" i="12"/>
  <c r="X100" i="12"/>
  <c r="X96" i="12"/>
  <c r="CB97" i="12"/>
  <c r="AL95" i="12"/>
  <c r="X97" i="12"/>
  <c r="AL92" i="12"/>
  <c r="BN90" i="12"/>
  <c r="AL93" i="12"/>
  <c r="AZ94" i="12"/>
  <c r="CB99" i="12"/>
  <c r="BN95" i="12"/>
  <c r="AZ96" i="12"/>
  <c r="CB93" i="12"/>
  <c r="AZ98" i="12"/>
  <c r="CP98" i="12" s="1"/>
  <c r="AL97" i="12"/>
  <c r="CB95" i="12"/>
  <c r="BN92" i="12"/>
  <c r="BN93" i="12"/>
  <c r="BN89" i="12"/>
  <c r="AL88" i="12"/>
  <c r="AZ93" i="12"/>
  <c r="CB91" i="12"/>
  <c r="AL96" i="12"/>
  <c r="AL100" i="12"/>
  <c r="AZ100" i="12"/>
  <c r="BN100" i="12"/>
  <c r="X74" i="12"/>
  <c r="CB100" i="12"/>
  <c r="AL74" i="12"/>
  <c r="BN74" i="12"/>
  <c r="CB74" i="12"/>
  <c r="AZ74" i="12"/>
  <c r="AM60" i="15"/>
  <c r="BO60" i="15"/>
  <c r="BA60" i="15"/>
  <c r="AM17" i="15"/>
  <c r="CC60" i="15"/>
  <c r="Y60" i="15"/>
  <c r="BA17" i="15"/>
  <c r="Y17" i="15"/>
  <c r="BO17" i="15"/>
  <c r="CC17" i="15"/>
  <c r="BO82" i="14"/>
  <c r="AM84" i="14"/>
  <c r="Y79" i="14"/>
  <c r="BA37" i="14"/>
  <c r="AM38" i="14"/>
  <c r="CC80" i="14"/>
  <c r="BA82" i="14"/>
  <c r="Y84" i="14"/>
  <c r="CC85" i="14"/>
  <c r="BO80" i="14"/>
  <c r="AM82" i="14"/>
  <c r="BO85" i="14"/>
  <c r="BA80" i="14"/>
  <c r="Y82" i="14"/>
  <c r="CC83" i="14"/>
  <c r="BA85" i="14"/>
  <c r="AM80" i="14"/>
  <c r="Y40" i="14"/>
  <c r="BO83" i="14"/>
  <c r="AM85" i="14"/>
  <c r="Y80" i="14"/>
  <c r="CC81" i="14"/>
  <c r="BA83" i="14"/>
  <c r="Y85" i="14"/>
  <c r="BA39" i="14"/>
  <c r="BO81" i="14"/>
  <c r="AM83" i="14"/>
  <c r="AM81" i="14"/>
  <c r="BA84" i="14"/>
  <c r="CC79" i="14"/>
  <c r="BA81" i="14"/>
  <c r="Y83" i="14"/>
  <c r="CQ83" i="14" s="1"/>
  <c r="Y81" i="14"/>
  <c r="CC84" i="14"/>
  <c r="BO79" i="14"/>
  <c r="CC82" i="14"/>
  <c r="BO84" i="14"/>
  <c r="BA79" i="14"/>
  <c r="AM79" i="14"/>
  <c r="CC37" i="14"/>
  <c r="CC36" i="14"/>
  <c r="Y41" i="14"/>
  <c r="CQ41" i="14" s="1"/>
  <c r="BA38" i="14"/>
  <c r="BO41" i="14"/>
  <c r="AM39" i="14"/>
  <c r="CC39" i="14"/>
  <c r="BA42" i="14"/>
  <c r="Y36" i="14"/>
  <c r="CC41" i="14"/>
  <c r="CC40" i="14"/>
  <c r="Y42" i="14"/>
  <c r="Y38" i="14"/>
  <c r="CC38" i="14"/>
  <c r="Y39" i="14"/>
  <c r="BO36" i="14"/>
  <c r="AM40" i="14"/>
  <c r="BA40" i="14"/>
  <c r="BO38" i="14"/>
  <c r="Y37" i="14"/>
  <c r="CC42" i="14"/>
  <c r="BO40" i="14"/>
  <c r="BO39" i="14"/>
  <c r="BO37" i="14"/>
  <c r="AM37" i="14"/>
  <c r="BA41" i="14"/>
  <c r="AM36" i="14"/>
  <c r="BA36" i="14"/>
  <c r="AM41" i="14"/>
  <c r="BO42" i="14"/>
  <c r="AM42" i="14"/>
  <c r="BO110" i="13"/>
  <c r="CC148" i="13"/>
  <c r="BO108" i="13"/>
  <c r="BA106" i="13"/>
  <c r="CC156" i="13"/>
  <c r="BO156" i="13"/>
  <c r="BA157" i="13"/>
  <c r="AM147" i="13"/>
  <c r="BA107" i="13"/>
  <c r="CC114" i="13"/>
  <c r="BO112" i="13"/>
  <c r="Y149" i="13"/>
  <c r="BA151" i="13"/>
  <c r="BA156" i="13"/>
  <c r="Y148" i="13"/>
  <c r="CQ148" i="13" s="1"/>
  <c r="Y151" i="13"/>
  <c r="AM104" i="13"/>
  <c r="BO149" i="13"/>
  <c r="CC107" i="13"/>
  <c r="AM152" i="13"/>
  <c r="Y156" i="13"/>
  <c r="AM148" i="13"/>
  <c r="Y112" i="13"/>
  <c r="CC152" i="13"/>
  <c r="AM110" i="13"/>
  <c r="BA149" i="13"/>
  <c r="BO152" i="13"/>
  <c r="BA148" i="13"/>
  <c r="Y155" i="13"/>
  <c r="BO114" i="13"/>
  <c r="BO105" i="13"/>
  <c r="BA112" i="13"/>
  <c r="Y146" i="13"/>
  <c r="CC150" i="13"/>
  <c r="AM154" i="13"/>
  <c r="AM103" i="13"/>
  <c r="Y110" i="13"/>
  <c r="BA155" i="13"/>
  <c r="BA111" i="13"/>
  <c r="CC103" i="13"/>
  <c r="CC146" i="13"/>
  <c r="CC104" i="13"/>
  <c r="BO151" i="13"/>
  <c r="BA150" i="13"/>
  <c r="BO148" i="13"/>
  <c r="Y109" i="13"/>
  <c r="CQ109" i="13" s="1"/>
  <c r="AM150" i="13"/>
  <c r="CC110" i="13"/>
  <c r="BA105" i="13"/>
  <c r="AM109" i="13"/>
  <c r="AM105" i="13"/>
  <c r="BO104" i="13"/>
  <c r="CC154" i="13"/>
  <c r="AM111" i="13"/>
  <c r="CC149" i="13"/>
  <c r="CC147" i="13"/>
  <c r="BO113" i="13"/>
  <c r="BA154" i="13"/>
  <c r="Y154" i="13"/>
  <c r="Y157" i="13"/>
  <c r="CQ157" i="13" s="1"/>
  <c r="BA146" i="13"/>
  <c r="AM113" i="13"/>
  <c r="BO155" i="13"/>
  <c r="BO150" i="13"/>
  <c r="Y150" i="13"/>
  <c r="BO103" i="13"/>
  <c r="BA152" i="13"/>
  <c r="AM106" i="13"/>
  <c r="AM149" i="13"/>
  <c r="CC153" i="13"/>
  <c r="BO109" i="13"/>
  <c r="BO146" i="13"/>
  <c r="Y152" i="13"/>
  <c r="CC108" i="13"/>
  <c r="AM112" i="13"/>
  <c r="CC155" i="13"/>
  <c r="BA103" i="13"/>
  <c r="Y105" i="13"/>
  <c r="Y106" i="13"/>
  <c r="Y147" i="13"/>
  <c r="CQ147" i="13" s="1"/>
  <c r="CC109" i="13"/>
  <c r="AM153" i="13"/>
  <c r="AM107" i="13"/>
  <c r="BO154" i="13"/>
  <c r="BO107" i="13"/>
  <c r="BO111" i="13"/>
  <c r="BA113" i="13"/>
  <c r="CC112" i="13"/>
  <c r="Y153" i="13"/>
  <c r="AM151" i="13"/>
  <c r="AM114" i="13"/>
  <c r="CC106" i="13"/>
  <c r="CC113" i="13"/>
  <c r="Y113" i="13"/>
  <c r="BA108" i="13"/>
  <c r="AM108" i="13"/>
  <c r="AM146" i="13"/>
  <c r="BO106" i="13"/>
  <c r="BO153" i="13"/>
  <c r="BA109" i="13"/>
  <c r="BA153" i="13"/>
  <c r="Y108" i="13"/>
  <c r="CC105" i="13"/>
  <c r="CC111" i="13"/>
  <c r="CC157" i="13"/>
  <c r="BO157" i="13"/>
  <c r="AM157" i="13"/>
  <c r="AM156" i="13"/>
  <c r="Y107" i="13"/>
  <c r="BA104" i="13"/>
  <c r="CC151" i="13"/>
  <c r="Y103" i="13"/>
  <c r="BA147" i="13"/>
  <c r="BA114" i="13"/>
  <c r="BA110" i="13"/>
  <c r="AM155" i="13"/>
  <c r="Y114" i="13"/>
  <c r="Y104" i="13"/>
  <c r="BO147" i="13"/>
  <c r="Y111" i="13"/>
  <c r="BA115" i="13"/>
  <c r="CC158" i="13"/>
  <c r="BO115" i="13"/>
  <c r="Y115" i="13"/>
  <c r="Y158" i="13"/>
  <c r="BO158" i="13"/>
  <c r="AM158" i="13"/>
  <c r="CC115" i="13"/>
  <c r="BA158" i="13"/>
  <c r="AM115" i="13"/>
  <c r="CC63" i="12"/>
  <c r="BA62" i="12"/>
  <c r="Y63" i="12"/>
  <c r="BO62" i="12"/>
  <c r="CC70" i="12"/>
  <c r="BA69" i="12"/>
  <c r="BA68" i="12"/>
  <c r="BO64" i="12"/>
  <c r="Y71" i="12"/>
  <c r="Y70" i="12"/>
  <c r="CQ70" i="12" s="1"/>
  <c r="Y62" i="12"/>
  <c r="CC66" i="12"/>
  <c r="BA70" i="12"/>
  <c r="AM64" i="12"/>
  <c r="BO67" i="12"/>
  <c r="BO73" i="12"/>
  <c r="AM73" i="12"/>
  <c r="AM67" i="12"/>
  <c r="BO63" i="12"/>
  <c r="Y67" i="12"/>
  <c r="AM68" i="12"/>
  <c r="BA66" i="12"/>
  <c r="CC64" i="12"/>
  <c r="CC67" i="12"/>
  <c r="AM70" i="12"/>
  <c r="BO72" i="12"/>
  <c r="CC62" i="12"/>
  <c r="CC71" i="12"/>
  <c r="BO65" i="12"/>
  <c r="CC72" i="12"/>
  <c r="AM71" i="12"/>
  <c r="AM65" i="12"/>
  <c r="Y66" i="12"/>
  <c r="CC69" i="12"/>
  <c r="AM72" i="12"/>
  <c r="BA71" i="12"/>
  <c r="AM69" i="12"/>
  <c r="BA65" i="12"/>
  <c r="CC65" i="12"/>
  <c r="BA63" i="12"/>
  <c r="Y73" i="12"/>
  <c r="AM62" i="12"/>
  <c r="BO71" i="12"/>
  <c r="CC73" i="12"/>
  <c r="BA64" i="12"/>
  <c r="Y72" i="12"/>
  <c r="CQ72" i="12" s="1"/>
  <c r="BO66" i="12"/>
  <c r="Y64" i="12"/>
  <c r="AM63" i="12"/>
  <c r="BO68" i="12"/>
  <c r="BA72" i="12"/>
  <c r="Y65" i="12"/>
  <c r="CQ65" i="12" s="1"/>
  <c r="BO70" i="12"/>
  <c r="Y68" i="12"/>
  <c r="Y69" i="12"/>
  <c r="BA73" i="12"/>
  <c r="AM66" i="12"/>
  <c r="BA67" i="12"/>
  <c r="CC68" i="12"/>
  <c r="BO69" i="12"/>
  <c r="AM89" i="12"/>
  <c r="Y91" i="12"/>
  <c r="Y98" i="12"/>
  <c r="CC92" i="12"/>
  <c r="Y99" i="12"/>
  <c r="CQ99" i="12" s="1"/>
  <c r="Y94" i="12"/>
  <c r="CC88" i="12"/>
  <c r="AM93" i="12"/>
  <c r="Y93" i="12"/>
  <c r="BA95" i="12"/>
  <c r="AM98" i="12"/>
  <c r="CC96" i="12"/>
  <c r="Y90" i="12"/>
  <c r="AM90" i="12"/>
  <c r="BO91" i="12"/>
  <c r="BA96" i="12"/>
  <c r="AM94" i="12"/>
  <c r="BA94" i="12"/>
  <c r="CC93" i="12"/>
  <c r="BA90" i="12"/>
  <c r="CC91" i="12"/>
  <c r="Y97" i="12"/>
  <c r="CQ97" i="12" s="1"/>
  <c r="BO89" i="12"/>
  <c r="BO98" i="12"/>
  <c r="BO99" i="12"/>
  <c r="CC95" i="12"/>
  <c r="CC100" i="12"/>
  <c r="AM92" i="12"/>
  <c r="BO92" i="12"/>
  <c r="BA98" i="12"/>
  <c r="BA97" i="12"/>
  <c r="BO97" i="12"/>
  <c r="AM97" i="12"/>
  <c r="CC94" i="12"/>
  <c r="CC90" i="12"/>
  <c r="AM91" i="12"/>
  <c r="Y95" i="12"/>
  <c r="BA91" i="12"/>
  <c r="BA92" i="12"/>
  <c r="AM95" i="12"/>
  <c r="CC98" i="12"/>
  <c r="Y88" i="12"/>
  <c r="BA88" i="12"/>
  <c r="AM88" i="12"/>
  <c r="CC99" i="12"/>
  <c r="AM96" i="12"/>
  <c r="AM99" i="12"/>
  <c r="BO88" i="12"/>
  <c r="Y96" i="12"/>
  <c r="BO96" i="12"/>
  <c r="BA99" i="12"/>
  <c r="CC97" i="12"/>
  <c r="BO95" i="12"/>
  <c r="BO90" i="12"/>
  <c r="BA89" i="12"/>
  <c r="BA93" i="12"/>
  <c r="BO93" i="12"/>
  <c r="Y100" i="12"/>
  <c r="BO94" i="12"/>
  <c r="Y92" i="12"/>
  <c r="Y89" i="12"/>
  <c r="CC89" i="12"/>
  <c r="BA100" i="12"/>
  <c r="BA74" i="12"/>
  <c r="BO100" i="12"/>
  <c r="AM100" i="12"/>
  <c r="Y74" i="12"/>
  <c r="AM74" i="12"/>
  <c r="BO74" i="12"/>
  <c r="CC74" i="12"/>
  <c r="BH60" i="15"/>
  <c r="DK60" i="15" s="1"/>
  <c r="AT60" i="15"/>
  <c r="DG60" i="15" s="1"/>
  <c r="AF60" i="15"/>
  <c r="DC60" i="15" s="1"/>
  <c r="R60" i="15"/>
  <c r="BV60" i="15"/>
  <c r="DO60" i="15" s="1"/>
  <c r="AF17" i="15"/>
  <c r="DC17" i="15" s="1"/>
  <c r="BH17" i="15"/>
  <c r="DK17" i="15" s="1"/>
  <c r="AT17" i="15"/>
  <c r="DG17" i="15" s="1"/>
  <c r="BV17" i="15"/>
  <c r="DO17" i="15" s="1"/>
  <c r="R17" i="15"/>
  <c r="BV84" i="14"/>
  <c r="DO84" i="14" s="1"/>
  <c r="BH79" i="14"/>
  <c r="DK79" i="14" s="1"/>
  <c r="AF81" i="14"/>
  <c r="DC81" i="14" s="1"/>
  <c r="BH84" i="14"/>
  <c r="DK84" i="14" s="1"/>
  <c r="AT79" i="14"/>
  <c r="DG79" i="14" s="1"/>
  <c r="R81" i="14"/>
  <c r="BV82" i="14"/>
  <c r="DO82" i="14" s="1"/>
  <c r="AT84" i="14"/>
  <c r="DG84" i="14" s="1"/>
  <c r="AF79" i="14"/>
  <c r="DC79" i="14" s="1"/>
  <c r="BH36" i="14"/>
  <c r="DK36" i="14" s="1"/>
  <c r="BH82" i="14"/>
  <c r="DK82" i="14" s="1"/>
  <c r="AF84" i="14"/>
  <c r="DC84" i="14" s="1"/>
  <c r="R79" i="14"/>
  <c r="BV80" i="14"/>
  <c r="DO80" i="14" s="1"/>
  <c r="AT82" i="14"/>
  <c r="DG82" i="14" s="1"/>
  <c r="R84" i="14"/>
  <c r="BV85" i="14"/>
  <c r="DO85" i="14" s="1"/>
  <c r="BH80" i="14"/>
  <c r="DK80" i="14" s="1"/>
  <c r="AF82" i="14"/>
  <c r="DC82" i="14" s="1"/>
  <c r="R80" i="14"/>
  <c r="BH85" i="14"/>
  <c r="DK85" i="14" s="1"/>
  <c r="AT80" i="14"/>
  <c r="DG80" i="14" s="1"/>
  <c r="R82" i="14"/>
  <c r="AF80" i="14"/>
  <c r="DC80" i="14" s="1"/>
  <c r="BH40" i="14"/>
  <c r="DK40" i="14" s="1"/>
  <c r="BV83" i="14"/>
  <c r="DO83" i="14" s="1"/>
  <c r="AT85" i="14"/>
  <c r="DG85" i="14" s="1"/>
  <c r="BH83" i="14"/>
  <c r="DK83" i="14" s="1"/>
  <c r="AF85" i="14"/>
  <c r="DC85" i="14" s="1"/>
  <c r="BV81" i="14"/>
  <c r="DO81" i="14" s="1"/>
  <c r="AT83" i="14"/>
  <c r="DG83" i="14" s="1"/>
  <c r="R85" i="14"/>
  <c r="BH81" i="14"/>
  <c r="DK81" i="14" s="1"/>
  <c r="AF83" i="14"/>
  <c r="DC83" i="14" s="1"/>
  <c r="BV79" i="14"/>
  <c r="DO79" i="14" s="1"/>
  <c r="AT81" i="14"/>
  <c r="DG81" i="14" s="1"/>
  <c r="R83" i="14"/>
  <c r="BH37" i="14"/>
  <c r="DK37" i="14" s="1"/>
  <c r="AT37" i="14"/>
  <c r="DG37" i="14" s="1"/>
  <c r="AF36" i="14"/>
  <c r="DC36" i="14" s="1"/>
  <c r="AF39" i="14"/>
  <c r="DC39" i="14" s="1"/>
  <c r="BH41" i="14"/>
  <c r="DK41" i="14" s="1"/>
  <c r="AT40" i="14"/>
  <c r="DG40" i="14" s="1"/>
  <c r="R37" i="14"/>
  <c r="AT36" i="14"/>
  <c r="DG36" i="14" s="1"/>
  <c r="R42" i="14"/>
  <c r="BV40" i="14"/>
  <c r="DO40" i="14" s="1"/>
  <c r="BV38" i="14"/>
  <c r="DO38" i="14" s="1"/>
  <c r="R38" i="14"/>
  <c r="AF40" i="14"/>
  <c r="DC40" i="14" s="1"/>
  <c r="BV39" i="14"/>
  <c r="DO39" i="14" s="1"/>
  <c r="AF37" i="14"/>
  <c r="DC37" i="14" s="1"/>
  <c r="R41" i="14"/>
  <c r="R36" i="14"/>
  <c r="AT39" i="14"/>
  <c r="DG39" i="14" s="1"/>
  <c r="R40" i="14"/>
  <c r="BV36" i="14"/>
  <c r="DO36" i="14" s="1"/>
  <c r="AT38" i="14"/>
  <c r="DG38" i="14" s="1"/>
  <c r="AF41" i="14"/>
  <c r="DC41" i="14" s="1"/>
  <c r="BV41" i="14"/>
  <c r="DO41" i="14" s="1"/>
  <c r="BV37" i="14"/>
  <c r="DO37" i="14" s="1"/>
  <c r="AT41" i="14"/>
  <c r="DG41" i="14" s="1"/>
  <c r="BH39" i="14"/>
  <c r="DK39" i="14" s="1"/>
  <c r="BV42" i="14"/>
  <c r="DO42" i="14" s="1"/>
  <c r="BH38" i="14"/>
  <c r="DK38" i="14" s="1"/>
  <c r="R39" i="14"/>
  <c r="AF38" i="14"/>
  <c r="DC38" i="14" s="1"/>
  <c r="AT42" i="14"/>
  <c r="DG42" i="14" s="1"/>
  <c r="BH42" i="14"/>
  <c r="DK42" i="14" s="1"/>
  <c r="AF42" i="14"/>
  <c r="DC42" i="14" s="1"/>
  <c r="AT103" i="13"/>
  <c r="DG103" i="13" s="1"/>
  <c r="BV150" i="13"/>
  <c r="DO150" i="13" s="1"/>
  <c r="BH113" i="13"/>
  <c r="DK113" i="13" s="1"/>
  <c r="BH147" i="13"/>
  <c r="DK147" i="13" s="1"/>
  <c r="BV107" i="13"/>
  <c r="DO107" i="13" s="1"/>
  <c r="BH146" i="13"/>
  <c r="DK146" i="13" s="1"/>
  <c r="AF149" i="13"/>
  <c r="DC149" i="13" s="1"/>
  <c r="BH106" i="13"/>
  <c r="DK106" i="13" s="1"/>
  <c r="R111" i="13"/>
  <c r="BH104" i="13"/>
  <c r="DK104" i="13" s="1"/>
  <c r="AT106" i="13"/>
  <c r="DG106" i="13" s="1"/>
  <c r="BV156" i="13"/>
  <c r="DO156" i="13" s="1"/>
  <c r="AT157" i="13"/>
  <c r="DG157" i="13" s="1"/>
  <c r="R106" i="13"/>
  <c r="AT107" i="13"/>
  <c r="DG107" i="13" s="1"/>
  <c r="BV114" i="13"/>
  <c r="DO114" i="13" s="1"/>
  <c r="AT150" i="13"/>
  <c r="DG150" i="13" s="1"/>
  <c r="AF150" i="13"/>
  <c r="DC150" i="13" s="1"/>
  <c r="AT156" i="13"/>
  <c r="DG156" i="13" s="1"/>
  <c r="AF106" i="13"/>
  <c r="DC106" i="13" s="1"/>
  <c r="AF109" i="13"/>
  <c r="DC109" i="13" s="1"/>
  <c r="AF105" i="13"/>
  <c r="DC105" i="13" s="1"/>
  <c r="AF104" i="13"/>
  <c r="DC104" i="13" s="1"/>
  <c r="R149" i="13"/>
  <c r="AF146" i="13"/>
  <c r="DC146" i="13" s="1"/>
  <c r="BV152" i="13"/>
  <c r="DO152" i="13" s="1"/>
  <c r="AF110" i="13"/>
  <c r="DC110" i="13" s="1"/>
  <c r="AT149" i="13"/>
  <c r="DG149" i="13" s="1"/>
  <c r="BH152" i="13"/>
  <c r="DK152" i="13" s="1"/>
  <c r="AT148" i="13"/>
  <c r="DG148" i="13" s="1"/>
  <c r="BH114" i="13"/>
  <c r="DK114" i="13" s="1"/>
  <c r="AF148" i="13"/>
  <c r="DC148" i="13" s="1"/>
  <c r="R112" i="13"/>
  <c r="AF152" i="13"/>
  <c r="DC152" i="13" s="1"/>
  <c r="BH105" i="13"/>
  <c r="DK105" i="13" s="1"/>
  <c r="BV151" i="13"/>
  <c r="DO151" i="13" s="1"/>
  <c r="AF154" i="13"/>
  <c r="DC154" i="13" s="1"/>
  <c r="BV106" i="13"/>
  <c r="DO106" i="13" s="1"/>
  <c r="R110" i="13"/>
  <c r="AT111" i="13"/>
  <c r="DG111" i="13" s="1"/>
  <c r="AF114" i="13"/>
  <c r="DC114" i="13" s="1"/>
  <c r="BV103" i="13"/>
  <c r="DO103" i="13" s="1"/>
  <c r="AT112" i="13"/>
  <c r="DG112" i="13" s="1"/>
  <c r="R146" i="13"/>
  <c r="AF155" i="13"/>
  <c r="DC155" i="13" s="1"/>
  <c r="AT155" i="13"/>
  <c r="DG155" i="13" s="1"/>
  <c r="BH148" i="13"/>
  <c r="DK148" i="13" s="1"/>
  <c r="R109" i="13"/>
  <c r="BV110" i="13"/>
  <c r="DO110" i="13" s="1"/>
  <c r="R151" i="13"/>
  <c r="BV146" i="13"/>
  <c r="DO146" i="13" s="1"/>
  <c r="BH151" i="13"/>
  <c r="DK151" i="13" s="1"/>
  <c r="BV154" i="13"/>
  <c r="DO154" i="13" s="1"/>
  <c r="BV147" i="13"/>
  <c r="DO147" i="13" s="1"/>
  <c r="R104" i="13"/>
  <c r="AT154" i="13"/>
  <c r="DG154" i="13" s="1"/>
  <c r="R154" i="13"/>
  <c r="R157" i="13"/>
  <c r="AF113" i="13"/>
  <c r="DC113" i="13" s="1"/>
  <c r="R150" i="13"/>
  <c r="AF156" i="13"/>
  <c r="DC156" i="13" s="1"/>
  <c r="BH103" i="13"/>
  <c r="DK103" i="13" s="1"/>
  <c r="R155" i="13"/>
  <c r="AT152" i="13"/>
  <c r="DG152" i="13" s="1"/>
  <c r="BV153" i="13"/>
  <c r="DO153" i="13" s="1"/>
  <c r="BH109" i="13"/>
  <c r="DK109" i="13" s="1"/>
  <c r="AT146" i="13"/>
  <c r="DG146" i="13" s="1"/>
  <c r="AT151" i="13"/>
  <c r="DG151" i="13" s="1"/>
  <c r="BV108" i="13"/>
  <c r="DO108" i="13" s="1"/>
  <c r="BV149" i="13"/>
  <c r="DO149" i="13" s="1"/>
  <c r="AF111" i="13"/>
  <c r="DC111" i="13" s="1"/>
  <c r="BH150" i="13"/>
  <c r="DK150" i="13" s="1"/>
  <c r="R148" i="13"/>
  <c r="BV148" i="13"/>
  <c r="DO148" i="13" s="1"/>
  <c r="R105" i="13"/>
  <c r="AF108" i="13"/>
  <c r="DC108" i="13" s="1"/>
  <c r="BV109" i="13"/>
  <c r="DO109" i="13" s="1"/>
  <c r="AF153" i="13"/>
  <c r="DC153" i="13" s="1"/>
  <c r="AF107" i="13"/>
  <c r="DC107" i="13" s="1"/>
  <c r="BH154" i="13"/>
  <c r="DK154" i="13" s="1"/>
  <c r="R156" i="13"/>
  <c r="BV113" i="13"/>
  <c r="DO113" i="13" s="1"/>
  <c r="R113" i="13"/>
  <c r="AT113" i="13"/>
  <c r="DG113" i="13" s="1"/>
  <c r="R152" i="13"/>
  <c r="BH112" i="13"/>
  <c r="DK112" i="13" s="1"/>
  <c r="R153" i="13"/>
  <c r="BH111" i="13"/>
  <c r="DK111" i="13" s="1"/>
  <c r="R147" i="13"/>
  <c r="BH153" i="13"/>
  <c r="DK153" i="13" s="1"/>
  <c r="AF103" i="13"/>
  <c r="DC103" i="13" s="1"/>
  <c r="AT109" i="13"/>
  <c r="DG109" i="13" s="1"/>
  <c r="AT153" i="13"/>
  <c r="DG153" i="13" s="1"/>
  <c r="BV104" i="13"/>
  <c r="DO104" i="13" s="1"/>
  <c r="BV112" i="13"/>
  <c r="DO112" i="13" s="1"/>
  <c r="BV105" i="13"/>
  <c r="DO105" i="13" s="1"/>
  <c r="AT147" i="13"/>
  <c r="DG147" i="13" s="1"/>
  <c r="AF151" i="13"/>
  <c r="DC151" i="13" s="1"/>
  <c r="AT105" i="13"/>
  <c r="DG105" i="13" s="1"/>
  <c r="BH156" i="13"/>
  <c r="DK156" i="13" s="1"/>
  <c r="BV157" i="13"/>
  <c r="DO157" i="13" s="1"/>
  <c r="BV155" i="13"/>
  <c r="DO155" i="13" s="1"/>
  <c r="BH157" i="13"/>
  <c r="DK157" i="13" s="1"/>
  <c r="BH107" i="13"/>
  <c r="DK107" i="13" s="1"/>
  <c r="AF157" i="13"/>
  <c r="DC157" i="13" s="1"/>
  <c r="AT114" i="13"/>
  <c r="DG114" i="13" s="1"/>
  <c r="AF112" i="13"/>
  <c r="DC112" i="13" s="1"/>
  <c r="AT108" i="13"/>
  <c r="DG108" i="13" s="1"/>
  <c r="AF147" i="13"/>
  <c r="DC147" i="13" s="1"/>
  <c r="BV111" i="13"/>
  <c r="DO111" i="13" s="1"/>
  <c r="R107" i="13"/>
  <c r="AT104" i="13"/>
  <c r="DG104" i="13" s="1"/>
  <c r="BH149" i="13"/>
  <c r="DK149" i="13" s="1"/>
  <c r="R103" i="13"/>
  <c r="AT110" i="13"/>
  <c r="DG110" i="13" s="1"/>
  <c r="R114" i="13"/>
  <c r="BH108" i="13"/>
  <c r="DK108" i="13" s="1"/>
  <c r="R108" i="13"/>
  <c r="BH155" i="13"/>
  <c r="DK155" i="13" s="1"/>
  <c r="BH110" i="13"/>
  <c r="DK110" i="13" s="1"/>
  <c r="AT115" i="13"/>
  <c r="DG115" i="13" s="1"/>
  <c r="BH115" i="13"/>
  <c r="DK115" i="13" s="1"/>
  <c r="BH158" i="13"/>
  <c r="DK158" i="13" s="1"/>
  <c r="R158" i="13"/>
  <c r="AF158" i="13"/>
  <c r="DC158" i="13" s="1"/>
  <c r="AT158" i="13"/>
  <c r="DG158" i="13" s="1"/>
  <c r="BV115" i="13"/>
  <c r="DO115" i="13" s="1"/>
  <c r="AF115" i="13"/>
  <c r="DC115" i="13" s="1"/>
  <c r="R115" i="13"/>
  <c r="BV158" i="13"/>
  <c r="DO158" i="13" s="1"/>
  <c r="AT62" i="12"/>
  <c r="DG62" i="12" s="1"/>
  <c r="R63" i="12"/>
  <c r="BH62" i="12"/>
  <c r="DK62" i="12" s="1"/>
  <c r="R68" i="12"/>
  <c r="R62" i="12"/>
  <c r="AF68" i="12"/>
  <c r="DC68" i="12" s="1"/>
  <c r="AT63" i="12"/>
  <c r="DG63" i="12" s="1"/>
  <c r="R73" i="12"/>
  <c r="BV68" i="12"/>
  <c r="DO68" i="12" s="1"/>
  <c r="BH63" i="12"/>
  <c r="DK63" i="12" s="1"/>
  <c r="R67" i="12"/>
  <c r="AF70" i="12"/>
  <c r="DC70" i="12" s="1"/>
  <c r="AF65" i="12"/>
  <c r="DC65" i="12" s="1"/>
  <c r="AT71" i="12"/>
  <c r="DG71" i="12" s="1"/>
  <c r="BV64" i="12"/>
  <c r="DO64" i="12" s="1"/>
  <c r="BV72" i="12"/>
  <c r="DO72" i="12" s="1"/>
  <c r="BV71" i="12"/>
  <c r="DO71" i="12" s="1"/>
  <c r="R64" i="12"/>
  <c r="BH68" i="12"/>
  <c r="DK68" i="12" s="1"/>
  <c r="AT72" i="12"/>
  <c r="DG72" i="12" s="1"/>
  <c r="BV67" i="12"/>
  <c r="DO67" i="12" s="1"/>
  <c r="BH67" i="12"/>
  <c r="DK67" i="12" s="1"/>
  <c r="BV70" i="12"/>
  <c r="DO70" i="12" s="1"/>
  <c r="BH72" i="12"/>
  <c r="DK72" i="12" s="1"/>
  <c r="BV63" i="12"/>
  <c r="DO63" i="12" s="1"/>
  <c r="AF69" i="12"/>
  <c r="DC69" i="12" s="1"/>
  <c r="AF63" i="12"/>
  <c r="DC63" i="12" s="1"/>
  <c r="BH70" i="12"/>
  <c r="DK70" i="12" s="1"/>
  <c r="AT65" i="12"/>
  <c r="DG65" i="12" s="1"/>
  <c r="AF62" i="12"/>
  <c r="DC62" i="12" s="1"/>
  <c r="AT64" i="12"/>
  <c r="DG64" i="12" s="1"/>
  <c r="AF67" i="12"/>
  <c r="DC67" i="12" s="1"/>
  <c r="BV69" i="12"/>
  <c r="DO69" i="12" s="1"/>
  <c r="BV62" i="12"/>
  <c r="DO62" i="12" s="1"/>
  <c r="AT69" i="12"/>
  <c r="DG69" i="12" s="1"/>
  <c r="R65" i="12"/>
  <c r="AF64" i="12"/>
  <c r="DC64" i="12" s="1"/>
  <c r="BV66" i="12"/>
  <c r="DO66" i="12" s="1"/>
  <c r="AT67" i="12"/>
  <c r="DG67" i="12" s="1"/>
  <c r="AT66" i="12"/>
  <c r="DG66" i="12" s="1"/>
  <c r="BH65" i="12"/>
  <c r="DK65" i="12" s="1"/>
  <c r="BV65" i="12"/>
  <c r="DO65" i="12" s="1"/>
  <c r="R71" i="12"/>
  <c r="AF66" i="12"/>
  <c r="DC66" i="12" s="1"/>
  <c r="BV73" i="12"/>
  <c r="DO73" i="12" s="1"/>
  <c r="AT70" i="12"/>
  <c r="DG70" i="12" s="1"/>
  <c r="AT73" i="12"/>
  <c r="DG73" i="12" s="1"/>
  <c r="BH69" i="12"/>
  <c r="DK69" i="12" s="1"/>
  <c r="AF72" i="12"/>
  <c r="DC72" i="12" s="1"/>
  <c r="BH66" i="12"/>
  <c r="DK66" i="12" s="1"/>
  <c r="R72" i="12"/>
  <c r="AF71" i="12"/>
  <c r="DC71" i="12" s="1"/>
  <c r="BH73" i="12"/>
  <c r="DK73" i="12" s="1"/>
  <c r="BH64" i="12"/>
  <c r="DK64" i="12" s="1"/>
  <c r="BH71" i="12"/>
  <c r="DK71" i="12" s="1"/>
  <c r="AF73" i="12"/>
  <c r="DC73" i="12" s="1"/>
  <c r="AT68" i="12"/>
  <c r="DG68" i="12" s="1"/>
  <c r="R66" i="12"/>
  <c r="R70" i="12"/>
  <c r="R69" i="12"/>
  <c r="AF98" i="12"/>
  <c r="DC98" i="12" s="1"/>
  <c r="R90" i="12"/>
  <c r="BV88" i="12"/>
  <c r="DO88" i="12" s="1"/>
  <c r="R91" i="12"/>
  <c r="AF90" i="12"/>
  <c r="DC90" i="12" s="1"/>
  <c r="AF94" i="12"/>
  <c r="DC94" i="12" s="1"/>
  <c r="AT96" i="12"/>
  <c r="DG96" i="12" s="1"/>
  <c r="BH99" i="12"/>
  <c r="DK99" i="12" s="1"/>
  <c r="BV92" i="12"/>
  <c r="DO92" i="12" s="1"/>
  <c r="R98" i="12"/>
  <c r="R94" i="12"/>
  <c r="AT95" i="12"/>
  <c r="DG95" i="12" s="1"/>
  <c r="BH96" i="12"/>
  <c r="DK96" i="12" s="1"/>
  <c r="R96" i="12"/>
  <c r="AT89" i="12"/>
  <c r="DG89" i="12" s="1"/>
  <c r="AT92" i="12"/>
  <c r="DG92" i="12" s="1"/>
  <c r="BH90" i="12"/>
  <c r="DK90" i="12" s="1"/>
  <c r="R88" i="12"/>
  <c r="AF88" i="12"/>
  <c r="DC88" i="12" s="1"/>
  <c r="AF96" i="12"/>
  <c r="DC96" i="12" s="1"/>
  <c r="AF93" i="12"/>
  <c r="DC93" i="12" s="1"/>
  <c r="AT93" i="12"/>
  <c r="DG93" i="12" s="1"/>
  <c r="R99" i="12"/>
  <c r="BH93" i="12"/>
  <c r="DK93" i="12" s="1"/>
  <c r="AT91" i="12"/>
  <c r="DG91" i="12" s="1"/>
  <c r="BV96" i="12"/>
  <c r="DO96" i="12" s="1"/>
  <c r="AT99" i="12"/>
  <c r="DG99" i="12" s="1"/>
  <c r="R93" i="12"/>
  <c r="BV90" i="12"/>
  <c r="DO90" i="12" s="1"/>
  <c r="BV93" i="12"/>
  <c r="DO93" i="12" s="1"/>
  <c r="BH91" i="12"/>
  <c r="DK91" i="12" s="1"/>
  <c r="BH89" i="12"/>
  <c r="DK89" i="12" s="1"/>
  <c r="R89" i="12"/>
  <c r="BH94" i="12"/>
  <c r="DK94" i="12" s="1"/>
  <c r="BH95" i="12"/>
  <c r="DK95" i="12" s="1"/>
  <c r="R97" i="12"/>
  <c r="BV89" i="12"/>
  <c r="DO89" i="12" s="1"/>
  <c r="BH88" i="12"/>
  <c r="DK88" i="12" s="1"/>
  <c r="AF89" i="12"/>
  <c r="DC89" i="12" s="1"/>
  <c r="AT90" i="12"/>
  <c r="DG90" i="12" s="1"/>
  <c r="AF99" i="12"/>
  <c r="DC99" i="12" s="1"/>
  <c r="BH97" i="12"/>
  <c r="DK97" i="12" s="1"/>
  <c r="BH92" i="12"/>
  <c r="DK92" i="12" s="1"/>
  <c r="R92" i="12"/>
  <c r="BV91" i="12"/>
  <c r="DO91" i="12" s="1"/>
  <c r="BV97" i="12"/>
  <c r="DO97" i="12" s="1"/>
  <c r="AF97" i="12"/>
  <c r="DC97" i="12" s="1"/>
  <c r="BV95" i="12"/>
  <c r="DO95" i="12" s="1"/>
  <c r="AT94" i="12"/>
  <c r="DG94" i="12" s="1"/>
  <c r="R95" i="12"/>
  <c r="BH98" i="12"/>
  <c r="DK98" i="12" s="1"/>
  <c r="BV99" i="12"/>
  <c r="DO99" i="12" s="1"/>
  <c r="AT98" i="12"/>
  <c r="DG98" i="12" s="1"/>
  <c r="R100" i="12"/>
  <c r="AT88" i="12"/>
  <c r="DG88" i="12" s="1"/>
  <c r="AF95" i="12"/>
  <c r="DC95" i="12" s="1"/>
  <c r="BV98" i="12"/>
  <c r="DO98" i="12" s="1"/>
  <c r="AF92" i="12"/>
  <c r="DC92" i="12" s="1"/>
  <c r="AF91" i="12"/>
  <c r="DC91" i="12" s="1"/>
  <c r="BV94" i="12"/>
  <c r="DO94" i="12" s="1"/>
  <c r="AT97" i="12"/>
  <c r="DG97" i="12" s="1"/>
  <c r="AT100" i="12"/>
  <c r="DG100" i="12" s="1"/>
  <c r="AF74" i="12"/>
  <c r="DC74" i="12" s="1"/>
  <c r="BH100" i="12"/>
  <c r="DK100" i="12" s="1"/>
  <c r="AF100" i="12"/>
  <c r="DC100" i="12" s="1"/>
  <c r="AT74" i="12"/>
  <c r="DG74" i="12" s="1"/>
  <c r="BH74" i="12"/>
  <c r="DK74" i="12" s="1"/>
  <c r="R74" i="12"/>
  <c r="BV100" i="12"/>
  <c r="DO100" i="12" s="1"/>
  <c r="BV74" i="12"/>
  <c r="DO74" i="12" s="1"/>
  <c r="U8" i="7"/>
  <c r="T8" i="7"/>
  <c r="V6" i="7"/>
  <c r="T6" i="7"/>
  <c r="V5" i="7"/>
  <c r="T5" i="7"/>
  <c r="W4" i="7"/>
  <c r="U4" i="7"/>
  <c r="T4" i="7"/>
  <c r="N8" i="7"/>
  <c r="L8" i="7"/>
  <c r="P7" i="7"/>
  <c r="O7" i="7"/>
  <c r="N7" i="7"/>
  <c r="P5" i="7"/>
  <c r="O5" i="7"/>
  <c r="N5" i="7"/>
  <c r="M5" i="7"/>
  <c r="L5" i="7"/>
  <c r="P4" i="7"/>
  <c r="O4" i="7"/>
  <c r="N4" i="7"/>
  <c r="M4" i="7"/>
  <c r="F9" i="7"/>
  <c r="X6" i="7" s="1"/>
  <c r="E9" i="7"/>
  <c r="W7" i="7" s="1"/>
  <c r="D9" i="7"/>
  <c r="V7" i="7" s="1"/>
  <c r="C9" i="7"/>
  <c r="U7" i="7" s="1"/>
  <c r="B9" i="7"/>
  <c r="T7" i="7" s="1"/>
  <c r="G8" i="7"/>
  <c r="P8" i="7" s="1"/>
  <c r="G7" i="7"/>
  <c r="M7" i="7" s="1"/>
  <c r="G6" i="7"/>
  <c r="O6" i="7" s="1"/>
  <c r="G5" i="7"/>
  <c r="G4" i="7"/>
  <c r="L4" i="7" s="1"/>
  <c r="P8" i="9"/>
  <c r="P7" i="9"/>
  <c r="P6" i="9"/>
  <c r="P3" i="9"/>
  <c r="P5" i="9"/>
  <c r="P4" i="9"/>
  <c r="CG38" i="14" l="1"/>
  <c r="CE39" i="14"/>
  <c r="CQ40" i="14"/>
  <c r="CE41" i="14"/>
  <c r="CH39" i="14"/>
  <c r="CG41" i="14"/>
  <c r="CO38" i="14"/>
  <c r="CM36" i="14"/>
  <c r="CL38" i="14"/>
  <c r="CN106" i="13"/>
  <c r="DA106" i="13"/>
  <c r="DU106" i="13" s="1"/>
  <c r="CM107" i="13"/>
  <c r="CZ93" i="12"/>
  <c r="DT93" i="12" s="1"/>
  <c r="CK93" i="12"/>
  <c r="CZ90" i="12"/>
  <c r="CK90" i="12"/>
  <c r="CX100" i="12"/>
  <c r="CF100" i="12"/>
  <c r="CX97" i="12"/>
  <c r="DR97" i="12" s="1"/>
  <c r="CF97" i="12"/>
  <c r="CX91" i="12"/>
  <c r="DR91" i="12" s="1"/>
  <c r="CF91" i="12"/>
  <c r="CX83" i="14"/>
  <c r="DR83" i="14" s="1"/>
  <c r="CF83" i="14"/>
  <c r="DA73" i="12"/>
  <c r="DU73" i="12" s="1"/>
  <c r="CN73" i="12"/>
  <c r="G9" i="7"/>
  <c r="H9" i="7" s="1"/>
  <c r="M8" i="7"/>
  <c r="Q8" i="7" s="1"/>
  <c r="CY62" i="12"/>
  <c r="CJ62" i="12"/>
  <c r="CJ107" i="13"/>
  <c r="CY107" i="13"/>
  <c r="DS107" i="13" s="1"/>
  <c r="DZ107" i="13" s="1"/>
  <c r="EE107" i="13" s="1"/>
  <c r="CJ153" i="13"/>
  <c r="CY153" i="13"/>
  <c r="DS153" i="13" s="1"/>
  <c r="CJ155" i="13"/>
  <c r="CY155" i="13"/>
  <c r="DS155" i="13" s="1"/>
  <c r="CJ110" i="13"/>
  <c r="CY110" i="13"/>
  <c r="DS110" i="13" s="1"/>
  <c r="CY83" i="14"/>
  <c r="DS83" i="14" s="1"/>
  <c r="CJ83" i="14"/>
  <c r="CY79" i="14"/>
  <c r="DS79" i="14" s="1"/>
  <c r="CJ79" i="14"/>
  <c r="CQ66" i="12"/>
  <c r="CQ71" i="12"/>
  <c r="CP88" i="12"/>
  <c r="CP154" i="13"/>
  <c r="CP36" i="14"/>
  <c r="CO96" i="12"/>
  <c r="CO115" i="13"/>
  <c r="CO108" i="13"/>
  <c r="CM150" i="13"/>
  <c r="CM41" i="14"/>
  <c r="CL98" i="12"/>
  <c r="CL105" i="13"/>
  <c r="CL39" i="14"/>
  <c r="CL41" i="14"/>
  <c r="CI105" i="13"/>
  <c r="CI79" i="14"/>
  <c r="CZ100" i="12"/>
  <c r="DT100" i="12" s="1"/>
  <c r="CK100" i="12"/>
  <c r="CZ88" i="12"/>
  <c r="DT88" i="12" s="1"/>
  <c r="CK88" i="12"/>
  <c r="CZ107" i="13"/>
  <c r="DT107" i="13" s="1"/>
  <c r="CK107" i="13"/>
  <c r="CZ42" i="14"/>
  <c r="DT42" i="14" s="1"/>
  <c r="CK42" i="14"/>
  <c r="CG115" i="13"/>
  <c r="CG154" i="13"/>
  <c r="CX99" i="12"/>
  <c r="CF99" i="12"/>
  <c r="CX98" i="12"/>
  <c r="DR98" i="12" s="1"/>
  <c r="CF98" i="12"/>
  <c r="CE64" i="12"/>
  <c r="CH92" i="12"/>
  <c r="CO105" i="13"/>
  <c r="CO41" i="14"/>
  <c r="DA107" i="13"/>
  <c r="DU107" i="13" s="1"/>
  <c r="CN107" i="13"/>
  <c r="CM93" i="12"/>
  <c r="CL150" i="13"/>
  <c r="CL79" i="14"/>
  <c r="CI72" i="12"/>
  <c r="CK151" i="13"/>
  <c r="CZ151" i="13"/>
  <c r="DT151" i="13" s="1"/>
  <c r="CZ149" i="13"/>
  <c r="DT149" i="13" s="1"/>
  <c r="CK149" i="13"/>
  <c r="CZ39" i="14"/>
  <c r="DT39" i="14" s="1"/>
  <c r="CK39" i="14"/>
  <c r="CG110" i="13"/>
  <c r="CG39" i="14"/>
  <c r="CX96" i="12"/>
  <c r="CF96" i="12"/>
  <c r="CX62" i="12"/>
  <c r="DR62" i="12" s="1"/>
  <c r="CF62" i="12"/>
  <c r="CF71" i="12"/>
  <c r="CX71" i="12"/>
  <c r="DR71" i="12" s="1"/>
  <c r="CX108" i="13"/>
  <c r="DR108" i="13" s="1"/>
  <c r="CF108" i="13"/>
  <c r="CF111" i="13"/>
  <c r="CX111" i="13"/>
  <c r="DR111" i="13" s="1"/>
  <c r="DY111" i="13" s="1"/>
  <c r="ED111" i="13" s="1"/>
  <c r="EQ132" i="13" s="1"/>
  <c r="FI132" i="13" s="1"/>
  <c r="CX112" i="13"/>
  <c r="DR112" i="13" s="1"/>
  <c r="CF112" i="13"/>
  <c r="CY106" i="13"/>
  <c r="DS106" i="13" s="1"/>
  <c r="DZ106" i="13" s="1"/>
  <c r="EE106" i="13" s="1"/>
  <c r="ER120" i="13" s="1"/>
  <c r="FJ120" i="13" s="1"/>
  <c r="CJ106" i="13"/>
  <c r="CP71" i="12"/>
  <c r="CP60" i="15"/>
  <c r="O8" i="7"/>
  <c r="V8" i="7"/>
  <c r="CY72" i="12"/>
  <c r="DS72" i="12" s="1"/>
  <c r="CJ72" i="12"/>
  <c r="CQ74" i="12"/>
  <c r="CQ69" i="12"/>
  <c r="CQ153" i="13"/>
  <c r="CQ150" i="13"/>
  <c r="CP69" i="12"/>
  <c r="CP113" i="13"/>
  <c r="CN69" i="12"/>
  <c r="DA69" i="12"/>
  <c r="DU69" i="12" s="1"/>
  <c r="CN111" i="13"/>
  <c r="DA111" i="13"/>
  <c r="DU111" i="13" s="1"/>
  <c r="DA41" i="14"/>
  <c r="DU41" i="14" s="1"/>
  <c r="CN41" i="14"/>
  <c r="CM94" i="12"/>
  <c r="CM158" i="13"/>
  <c r="CM103" i="13"/>
  <c r="CL40" i="14"/>
  <c r="CI74" i="12"/>
  <c r="CZ70" i="12"/>
  <c r="DT70" i="12" s="1"/>
  <c r="CK70" i="12"/>
  <c r="CK152" i="13"/>
  <c r="CZ152" i="13"/>
  <c r="DT152" i="13" s="1"/>
  <c r="CK155" i="13"/>
  <c r="CZ155" i="13"/>
  <c r="DT155" i="13" s="1"/>
  <c r="CG95" i="12"/>
  <c r="CG62" i="12"/>
  <c r="CG85" i="14"/>
  <c r="CX88" i="12"/>
  <c r="CF88" i="12"/>
  <c r="CF41" i="14"/>
  <c r="CX41" i="14"/>
  <c r="DR41" i="14" s="1"/>
  <c r="CE72" i="12"/>
  <c r="CE146" i="13"/>
  <c r="CH105" i="13"/>
  <c r="CH81" i="14"/>
  <c r="CY152" i="13"/>
  <c r="DS152" i="13" s="1"/>
  <c r="CJ152" i="13"/>
  <c r="W8" i="7"/>
  <c r="CY96" i="12"/>
  <c r="DS96" i="12" s="1"/>
  <c r="CJ96" i="12"/>
  <c r="CY63" i="12"/>
  <c r="DS63" i="12" s="1"/>
  <c r="CJ63" i="12"/>
  <c r="CY150" i="13"/>
  <c r="DS150" i="13" s="1"/>
  <c r="CJ150" i="13"/>
  <c r="CQ88" i="12"/>
  <c r="CQ68" i="12"/>
  <c r="CQ103" i="13"/>
  <c r="CQ151" i="13"/>
  <c r="CQ82" i="14"/>
  <c r="CP107" i="13"/>
  <c r="CO100" i="12"/>
  <c r="CO92" i="12"/>
  <c r="CO112" i="13"/>
  <c r="CO17" i="15"/>
  <c r="DA70" i="12"/>
  <c r="DU70" i="12" s="1"/>
  <c r="CN70" i="12"/>
  <c r="DA153" i="13"/>
  <c r="DU153" i="13" s="1"/>
  <c r="CN153" i="13"/>
  <c r="CN113" i="13"/>
  <c r="DA113" i="13"/>
  <c r="DU113" i="13" s="1"/>
  <c r="DA80" i="14"/>
  <c r="DU80" i="14" s="1"/>
  <c r="CN80" i="14"/>
  <c r="CM89" i="12"/>
  <c r="CM98" i="12"/>
  <c r="CM152" i="13"/>
  <c r="CL104" i="13"/>
  <c r="CL149" i="13"/>
  <c r="CI80" i="14"/>
  <c r="CZ89" i="12"/>
  <c r="DT89" i="12" s="1"/>
  <c r="CK89" i="12"/>
  <c r="CZ62" i="12"/>
  <c r="DT62" i="12" s="1"/>
  <c r="CK62" i="12"/>
  <c r="CZ154" i="13"/>
  <c r="DT154" i="13" s="1"/>
  <c r="CK154" i="13"/>
  <c r="CZ84" i="14"/>
  <c r="DT84" i="14" s="1"/>
  <c r="CK84" i="14"/>
  <c r="CZ60" i="15"/>
  <c r="DT60" i="15" s="1"/>
  <c r="CK60" i="15"/>
  <c r="CG66" i="12"/>
  <c r="CG156" i="13"/>
  <c r="CX92" i="12"/>
  <c r="DR92" i="12" s="1"/>
  <c r="CF92" i="12"/>
  <c r="CF156" i="13"/>
  <c r="CX156" i="13"/>
  <c r="DR156" i="13" s="1"/>
  <c r="CF151" i="13"/>
  <c r="CX151" i="13"/>
  <c r="DR151" i="13" s="1"/>
  <c r="DY151" i="13" s="1"/>
  <c r="ED151" i="13" s="1"/>
  <c r="CE90" i="12"/>
  <c r="CE70" i="12"/>
  <c r="CE85" i="14"/>
  <c r="CP90" i="12"/>
  <c r="CP109" i="13"/>
  <c r="CP38" i="14"/>
  <c r="CP17" i="15"/>
  <c r="CO148" i="13"/>
  <c r="DA100" i="12"/>
  <c r="DU100" i="12" s="1"/>
  <c r="CN100" i="12"/>
  <c r="DA110" i="13"/>
  <c r="DU110" i="13" s="1"/>
  <c r="CN110" i="13"/>
  <c r="DA79" i="14"/>
  <c r="DU79" i="14" s="1"/>
  <c r="CN79" i="14"/>
  <c r="CM95" i="12"/>
  <c r="CM62" i="12"/>
  <c r="CM147" i="13"/>
  <c r="CM37" i="14"/>
  <c r="CL109" i="13"/>
  <c r="CI96" i="12"/>
  <c r="CZ74" i="12"/>
  <c r="DT74" i="12" s="1"/>
  <c r="CK74" i="12"/>
  <c r="CK92" i="12"/>
  <c r="CZ92" i="12"/>
  <c r="DT92" i="12" s="1"/>
  <c r="CZ66" i="12"/>
  <c r="DT66" i="12" s="1"/>
  <c r="CK66" i="12"/>
  <c r="CK146" i="13"/>
  <c r="CZ146" i="13"/>
  <c r="DT146" i="13" s="1"/>
  <c r="CZ106" i="13"/>
  <c r="DT106" i="13" s="1"/>
  <c r="CK106" i="13"/>
  <c r="CG65" i="12"/>
  <c r="CG17" i="15"/>
  <c r="CX95" i="12"/>
  <c r="DR95" i="12" s="1"/>
  <c r="CF95" i="12"/>
  <c r="CX66" i="12"/>
  <c r="CF66" i="12"/>
  <c r="CE103" i="13"/>
  <c r="CH93" i="12"/>
  <c r="CH90" i="12"/>
  <c r="CH108" i="13"/>
  <c r="CY85" i="14"/>
  <c r="DS85" i="14" s="1"/>
  <c r="CJ85" i="14"/>
  <c r="DA115" i="13"/>
  <c r="DU115" i="13" s="1"/>
  <c r="CN115" i="13"/>
  <c r="DA39" i="14"/>
  <c r="DU39" i="14" s="1"/>
  <c r="CN39" i="14"/>
  <c r="CI65" i="12"/>
  <c r="CI112" i="13"/>
  <c r="CI41" i="14"/>
  <c r="CZ71" i="12"/>
  <c r="DT71" i="12" s="1"/>
  <c r="CK71" i="12"/>
  <c r="CG40" i="14"/>
  <c r="CX158" i="13"/>
  <c r="DR158" i="13" s="1"/>
  <c r="CF158" i="13"/>
  <c r="CX80" i="14"/>
  <c r="DR80" i="14" s="1"/>
  <c r="DY80" i="14" s="1"/>
  <c r="ED80" i="14" s="1"/>
  <c r="CF80" i="14"/>
  <c r="CE112" i="13"/>
  <c r="CH69" i="12"/>
  <c r="CY40" i="14"/>
  <c r="DS40" i="14" s="1"/>
  <c r="CJ40" i="14"/>
  <c r="DA91" i="12"/>
  <c r="DU91" i="12" s="1"/>
  <c r="CN91" i="12"/>
  <c r="V4" i="7"/>
  <c r="V9" i="7" s="1"/>
  <c r="CY94" i="12"/>
  <c r="DS94" i="12" s="1"/>
  <c r="CJ94" i="12"/>
  <c r="CY115" i="13"/>
  <c r="DS115" i="13" s="1"/>
  <c r="CJ115" i="13"/>
  <c r="CJ156" i="13"/>
  <c r="CY156" i="13"/>
  <c r="DS156" i="13" s="1"/>
  <c r="CY154" i="13"/>
  <c r="DS154" i="13" s="1"/>
  <c r="DZ154" i="13" s="1"/>
  <c r="EE154" i="13" s="1"/>
  <c r="ER175" i="13" s="1"/>
  <c r="CJ154" i="13"/>
  <c r="CY112" i="13"/>
  <c r="DS112" i="13" s="1"/>
  <c r="DZ112" i="13" s="1"/>
  <c r="EE112" i="13" s="1"/>
  <c r="CJ112" i="13"/>
  <c r="CY111" i="13"/>
  <c r="DS111" i="13" s="1"/>
  <c r="CJ111" i="13"/>
  <c r="CQ63" i="12"/>
  <c r="CQ107" i="13"/>
  <c r="CQ110" i="13"/>
  <c r="CQ37" i="14"/>
  <c r="CP97" i="12"/>
  <c r="CP112" i="13"/>
  <c r="CP82" i="14"/>
  <c r="CO91" i="12"/>
  <c r="CO71" i="12"/>
  <c r="CO66" i="12"/>
  <c r="DA88" i="12"/>
  <c r="DU88" i="12" s="1"/>
  <c r="CN88" i="12"/>
  <c r="DA67" i="12"/>
  <c r="DU67" i="12" s="1"/>
  <c r="CN67" i="12"/>
  <c r="CN158" i="13"/>
  <c r="DA158" i="13"/>
  <c r="DU158" i="13" s="1"/>
  <c r="CN114" i="13"/>
  <c r="DA114" i="13"/>
  <c r="DU114" i="13" s="1"/>
  <c r="DA38" i="14"/>
  <c r="DU38" i="14" s="1"/>
  <c r="CN38" i="14"/>
  <c r="DA85" i="14"/>
  <c r="DU85" i="14" s="1"/>
  <c r="CN85" i="14"/>
  <c r="DA17" i="15"/>
  <c r="DU17" i="15" s="1"/>
  <c r="CN17" i="15"/>
  <c r="CM96" i="12"/>
  <c r="CM105" i="13"/>
  <c r="CM81" i="14"/>
  <c r="CI109" i="13"/>
  <c r="CZ65" i="12"/>
  <c r="DT65" i="12" s="1"/>
  <c r="CK65" i="12"/>
  <c r="CK156" i="13"/>
  <c r="CZ156" i="13"/>
  <c r="DT156" i="13" s="1"/>
  <c r="CG93" i="12"/>
  <c r="CG109" i="13"/>
  <c r="CG146" i="13"/>
  <c r="CX90" i="12"/>
  <c r="CF90" i="12"/>
  <c r="CX115" i="13"/>
  <c r="DR115" i="13" s="1"/>
  <c r="DY115" i="13" s="1"/>
  <c r="ED115" i="13" s="1"/>
  <c r="CF115" i="13"/>
  <c r="CX84" i="14"/>
  <c r="DR84" i="14" s="1"/>
  <c r="CF84" i="14"/>
  <c r="CX17" i="15"/>
  <c r="DR17" i="15" s="1"/>
  <c r="DY17" i="15" s="1"/>
  <c r="CF17" i="15"/>
  <c r="CE105" i="13"/>
  <c r="CH147" i="13"/>
  <c r="CH40" i="14"/>
  <c r="CQ149" i="13"/>
  <c r="CP63" i="12"/>
  <c r="CO95" i="12"/>
  <c r="CO70" i="12"/>
  <c r="DA72" i="12"/>
  <c r="DU72" i="12" s="1"/>
  <c r="CN72" i="12"/>
  <c r="DA65" i="12"/>
  <c r="DU65" i="12" s="1"/>
  <c r="CN65" i="12"/>
  <c r="CM154" i="13"/>
  <c r="CL66" i="12"/>
  <c r="CI104" i="13"/>
  <c r="CI113" i="13"/>
  <c r="CZ96" i="12"/>
  <c r="DT96" i="12" s="1"/>
  <c r="CK96" i="12"/>
  <c r="CK110" i="13"/>
  <c r="CZ110" i="13"/>
  <c r="DT110" i="13" s="1"/>
  <c r="CZ38" i="14"/>
  <c r="DT38" i="14" s="1"/>
  <c r="CK38" i="14"/>
  <c r="CZ79" i="14"/>
  <c r="DT79" i="14" s="1"/>
  <c r="CK79" i="14"/>
  <c r="CG92" i="12"/>
  <c r="CX104" i="13"/>
  <c r="DR104" i="13" s="1"/>
  <c r="DY104" i="13" s="1"/>
  <c r="ED104" i="13" s="1"/>
  <c r="CF104" i="13"/>
  <c r="CE71" i="12"/>
  <c r="CE80" i="14"/>
  <c r="CH42" i="14"/>
  <c r="CY36" i="14"/>
  <c r="DS36" i="14" s="1"/>
  <c r="CJ36" i="14"/>
  <c r="CY81" i="14"/>
  <c r="DS81" i="14" s="1"/>
  <c r="CJ81" i="14"/>
  <c r="Q5" i="7"/>
  <c r="X4" i="7"/>
  <c r="CY89" i="12"/>
  <c r="DS89" i="12" s="1"/>
  <c r="DZ89" i="12" s="1"/>
  <c r="CJ89" i="12"/>
  <c r="CY104" i="13"/>
  <c r="DS104" i="13" s="1"/>
  <c r="CJ104" i="13"/>
  <c r="CY41" i="14"/>
  <c r="DS41" i="14" s="1"/>
  <c r="CJ41" i="14"/>
  <c r="CQ89" i="12"/>
  <c r="CQ95" i="12"/>
  <c r="CQ90" i="12"/>
  <c r="CQ154" i="13"/>
  <c r="CQ81" i="14"/>
  <c r="CP74" i="12"/>
  <c r="CP68" i="12"/>
  <c r="CO93" i="12"/>
  <c r="CO73" i="12"/>
  <c r="CO150" i="13"/>
  <c r="CO103" i="13"/>
  <c r="CO36" i="14"/>
  <c r="DA95" i="12"/>
  <c r="DU95" i="12" s="1"/>
  <c r="CN95" i="12"/>
  <c r="DA150" i="13"/>
  <c r="DU150" i="13" s="1"/>
  <c r="CN150" i="13"/>
  <c r="DA42" i="14"/>
  <c r="DU42" i="14" s="1"/>
  <c r="CN42" i="14"/>
  <c r="DA37" i="14"/>
  <c r="DU37" i="14" s="1"/>
  <c r="CN37" i="14"/>
  <c r="CM92" i="12"/>
  <c r="CL63" i="12"/>
  <c r="CL115" i="13"/>
  <c r="CL85" i="14"/>
  <c r="CI153" i="13"/>
  <c r="CI152" i="13"/>
  <c r="CI81" i="14"/>
  <c r="CK157" i="13"/>
  <c r="CZ157" i="13"/>
  <c r="DT157" i="13" s="1"/>
  <c r="CZ83" i="14"/>
  <c r="DT83" i="14" s="1"/>
  <c r="CK83" i="14"/>
  <c r="CG152" i="13"/>
  <c r="CF67" i="12"/>
  <c r="CX67" i="12"/>
  <c r="DR67" i="12" s="1"/>
  <c r="CX114" i="13"/>
  <c r="DR114" i="13" s="1"/>
  <c r="CF114" i="13"/>
  <c r="CF42" i="14"/>
  <c r="CX42" i="14"/>
  <c r="DR42" i="14" s="1"/>
  <c r="CX38" i="14"/>
  <c r="DR38" i="14" s="1"/>
  <c r="CF38" i="14"/>
  <c r="CE92" i="12"/>
  <c r="CE113" i="13"/>
  <c r="CE79" i="14"/>
  <c r="CH91" i="12"/>
  <c r="CH146" i="13"/>
  <c r="CH155" i="13"/>
  <c r="CH80" i="14"/>
  <c r="CQ92" i="12"/>
  <c r="CQ64" i="12"/>
  <c r="CQ84" i="14"/>
  <c r="CP96" i="12"/>
  <c r="CP70" i="12"/>
  <c r="CP105" i="13"/>
  <c r="CP40" i="14"/>
  <c r="CO149" i="13"/>
  <c r="DA90" i="12"/>
  <c r="DU90" i="12" s="1"/>
  <c r="CN90" i="12"/>
  <c r="DA151" i="13"/>
  <c r="DU151" i="13" s="1"/>
  <c r="CN151" i="13"/>
  <c r="CN146" i="13"/>
  <c r="DA146" i="13"/>
  <c r="DU146" i="13" s="1"/>
  <c r="CM115" i="13"/>
  <c r="CM112" i="13"/>
  <c r="CM113" i="13"/>
  <c r="CM82" i="14"/>
  <c r="CL94" i="12"/>
  <c r="CL95" i="12"/>
  <c r="CL68" i="12"/>
  <c r="CL112" i="13"/>
  <c r="CL81" i="14"/>
  <c r="CI71" i="12"/>
  <c r="CI114" i="13"/>
  <c r="CI146" i="13"/>
  <c r="CK147" i="13"/>
  <c r="CZ147" i="13"/>
  <c r="DT147" i="13" s="1"/>
  <c r="CG105" i="13"/>
  <c r="CG36" i="14"/>
  <c r="CG82" i="14"/>
  <c r="DR66" i="12"/>
  <c r="CX64" i="12"/>
  <c r="CF64" i="12"/>
  <c r="CX105" i="13"/>
  <c r="DR105" i="13" s="1"/>
  <c r="CF105" i="13"/>
  <c r="CX82" i="14"/>
  <c r="DR82" i="14" s="1"/>
  <c r="CF82" i="14"/>
  <c r="CE88" i="12"/>
  <c r="CE156" i="13"/>
  <c r="CE17" i="15"/>
  <c r="CH83" i="14"/>
  <c r="AN60" i="15"/>
  <c r="Z60" i="15"/>
  <c r="CD60" i="15"/>
  <c r="BB60" i="15"/>
  <c r="BP60" i="15"/>
  <c r="BP17" i="15"/>
  <c r="AN17" i="15"/>
  <c r="BB17" i="15"/>
  <c r="CD17" i="15"/>
  <c r="Z17" i="15"/>
  <c r="AN36" i="14"/>
  <c r="CD80" i="14"/>
  <c r="BB82" i="14"/>
  <c r="Z84" i="14"/>
  <c r="BP36" i="14"/>
  <c r="BP37" i="14"/>
  <c r="BP41" i="14"/>
  <c r="CD85" i="14"/>
  <c r="BP80" i="14"/>
  <c r="AN82" i="14"/>
  <c r="BB39" i="14"/>
  <c r="BP85" i="14"/>
  <c r="BB80" i="14"/>
  <c r="Z82" i="14"/>
  <c r="BP40" i="14"/>
  <c r="CD83" i="14"/>
  <c r="BB85" i="14"/>
  <c r="AN80" i="14"/>
  <c r="BP83" i="14"/>
  <c r="AN85" i="14"/>
  <c r="Z80" i="14"/>
  <c r="CD81" i="14"/>
  <c r="BB83" i="14"/>
  <c r="Z85" i="14"/>
  <c r="CR85" i="14" s="1"/>
  <c r="CS85" i="14" s="1"/>
  <c r="BP81" i="14"/>
  <c r="AN83" i="14"/>
  <c r="CD38" i="14"/>
  <c r="CD79" i="14"/>
  <c r="BB81" i="14"/>
  <c r="Z83" i="14"/>
  <c r="CD84" i="14"/>
  <c r="BP79" i="14"/>
  <c r="AN81" i="14"/>
  <c r="BP84" i="14"/>
  <c r="BB79" i="14"/>
  <c r="Z81" i="14"/>
  <c r="CD82" i="14"/>
  <c r="BB84" i="14"/>
  <c r="AN79" i="14"/>
  <c r="BP82" i="14"/>
  <c r="AN84" i="14"/>
  <c r="Z79" i="14"/>
  <c r="CR79" i="14" s="1"/>
  <c r="CD36" i="14"/>
  <c r="BB42" i="14"/>
  <c r="AN38" i="14"/>
  <c r="BB37" i="14"/>
  <c r="BB40" i="14"/>
  <c r="Z37" i="14"/>
  <c r="BB36" i="14"/>
  <c r="Z42" i="14"/>
  <c r="Z38" i="14"/>
  <c r="CD40" i="14"/>
  <c r="BB41" i="14"/>
  <c r="CD39" i="14"/>
  <c r="Z39" i="14"/>
  <c r="CD37" i="14"/>
  <c r="AN40" i="14"/>
  <c r="AN37" i="14"/>
  <c r="Z41" i="14"/>
  <c r="CD41" i="14"/>
  <c r="Z36" i="14"/>
  <c r="BB38" i="14"/>
  <c r="AN41" i="14"/>
  <c r="CD42" i="14"/>
  <c r="BP39" i="14"/>
  <c r="AN39" i="14"/>
  <c r="BP38" i="14"/>
  <c r="Z40" i="14"/>
  <c r="BP42" i="14"/>
  <c r="AN42" i="14"/>
  <c r="BP110" i="13"/>
  <c r="BB103" i="13"/>
  <c r="CD150" i="13"/>
  <c r="BP113" i="13"/>
  <c r="BP147" i="13"/>
  <c r="CD107" i="13"/>
  <c r="BP146" i="13"/>
  <c r="AN149" i="13"/>
  <c r="AN146" i="13"/>
  <c r="CD111" i="13"/>
  <c r="BP106" i="13"/>
  <c r="Z111" i="13"/>
  <c r="BP156" i="13"/>
  <c r="Z112" i="13"/>
  <c r="BB106" i="13"/>
  <c r="Z108" i="13"/>
  <c r="CD156" i="13"/>
  <c r="BB157" i="13"/>
  <c r="Z106" i="13"/>
  <c r="Z156" i="13"/>
  <c r="CR156" i="13" s="1"/>
  <c r="CS156" i="13" s="1"/>
  <c r="CD114" i="13"/>
  <c r="BB156" i="13"/>
  <c r="AN106" i="13"/>
  <c r="AN104" i="13"/>
  <c r="AN152" i="13"/>
  <c r="CD152" i="13"/>
  <c r="AN110" i="13"/>
  <c r="BB149" i="13"/>
  <c r="BP152" i="13"/>
  <c r="BB148" i="13"/>
  <c r="Z149" i="13"/>
  <c r="BP114" i="13"/>
  <c r="AN148" i="13"/>
  <c r="AN109" i="13"/>
  <c r="BP105" i="13"/>
  <c r="BB112" i="13"/>
  <c r="Z146" i="13"/>
  <c r="AN154" i="13"/>
  <c r="CD106" i="13"/>
  <c r="Z110" i="13"/>
  <c r="BB155" i="13"/>
  <c r="BB150" i="13"/>
  <c r="BP155" i="13"/>
  <c r="AN114" i="13"/>
  <c r="Z151" i="13"/>
  <c r="CD103" i="13"/>
  <c r="CD146" i="13"/>
  <c r="BP151" i="13"/>
  <c r="Z155" i="13"/>
  <c r="AN155" i="13"/>
  <c r="BB111" i="13"/>
  <c r="BP148" i="13"/>
  <c r="Z109" i="13"/>
  <c r="AN150" i="13"/>
  <c r="AN111" i="13"/>
  <c r="CD110" i="13"/>
  <c r="AN105" i="13"/>
  <c r="AN157" i="13"/>
  <c r="Z114" i="13"/>
  <c r="CD149" i="13"/>
  <c r="CD147" i="13"/>
  <c r="Z104" i="13"/>
  <c r="BB154" i="13"/>
  <c r="Z154" i="13"/>
  <c r="CR154" i="13" s="1"/>
  <c r="CS154" i="13" s="1"/>
  <c r="Z157" i="13"/>
  <c r="BB146" i="13"/>
  <c r="CD154" i="13"/>
  <c r="AN113" i="13"/>
  <c r="BB151" i="13"/>
  <c r="BP150" i="13"/>
  <c r="Z150" i="13"/>
  <c r="BP103" i="13"/>
  <c r="BB107" i="13"/>
  <c r="BB152" i="13"/>
  <c r="Z148" i="13"/>
  <c r="CR148" i="13" s="1"/>
  <c r="CD153" i="13"/>
  <c r="BP109" i="13"/>
  <c r="CD108" i="13"/>
  <c r="CD148" i="13"/>
  <c r="Z105" i="13"/>
  <c r="Z147" i="13"/>
  <c r="CD109" i="13"/>
  <c r="BP107" i="13"/>
  <c r="Z152" i="13"/>
  <c r="AN153" i="13"/>
  <c r="AN107" i="13"/>
  <c r="BP154" i="13"/>
  <c r="BP112" i="13"/>
  <c r="AN112" i="13"/>
  <c r="BP108" i="13"/>
  <c r="BB113" i="13"/>
  <c r="CD112" i="13"/>
  <c r="CD113" i="13"/>
  <c r="Z153" i="13"/>
  <c r="Z113" i="13"/>
  <c r="AN151" i="13"/>
  <c r="CD155" i="13"/>
  <c r="BB108" i="13"/>
  <c r="BP153" i="13"/>
  <c r="AN103" i="13"/>
  <c r="BB109" i="13"/>
  <c r="BB153" i="13"/>
  <c r="CD104" i="13"/>
  <c r="CD105" i="13"/>
  <c r="BB147" i="13"/>
  <c r="BB105" i="13"/>
  <c r="CD157" i="13"/>
  <c r="BP157" i="13"/>
  <c r="BP111" i="13"/>
  <c r="AN147" i="13"/>
  <c r="AN108" i="13"/>
  <c r="Z107" i="13"/>
  <c r="CR107" i="13" s="1"/>
  <c r="BB114" i="13"/>
  <c r="BB104" i="13"/>
  <c r="CD151" i="13"/>
  <c r="BP149" i="13"/>
  <c r="Z103" i="13"/>
  <c r="AN156" i="13"/>
  <c r="BP104" i="13"/>
  <c r="BB110" i="13"/>
  <c r="AN158" i="13"/>
  <c r="BB115" i="13"/>
  <c r="BP115" i="13"/>
  <c r="BP158" i="13"/>
  <c r="BB158" i="13"/>
  <c r="Z115" i="13"/>
  <c r="AN115" i="13"/>
  <c r="Z158" i="13"/>
  <c r="CD158" i="13"/>
  <c r="CD115" i="13"/>
  <c r="BB62" i="12"/>
  <c r="BP62" i="12"/>
  <c r="BP65" i="12"/>
  <c r="Z73" i="12"/>
  <c r="CD68" i="12"/>
  <c r="BB68" i="12"/>
  <c r="BB71" i="12"/>
  <c r="CD64" i="12"/>
  <c r="BP63" i="12"/>
  <c r="BP73" i="12"/>
  <c r="BB70" i="12"/>
  <c r="AN69" i="12"/>
  <c r="AN65" i="12"/>
  <c r="BB72" i="12"/>
  <c r="CD65" i="12"/>
  <c r="AN73" i="12"/>
  <c r="CD63" i="12"/>
  <c r="Z67" i="12"/>
  <c r="BP67" i="12"/>
  <c r="CD70" i="12"/>
  <c r="BP69" i="12"/>
  <c r="BB65" i="12"/>
  <c r="AN72" i="12"/>
  <c r="AN63" i="12"/>
  <c r="BB63" i="12"/>
  <c r="AN62" i="12"/>
  <c r="BB64" i="12"/>
  <c r="BP72" i="12"/>
  <c r="BB67" i="12"/>
  <c r="Z68" i="12"/>
  <c r="BP70" i="12"/>
  <c r="Z72" i="12"/>
  <c r="CD73" i="12"/>
  <c r="CD66" i="12"/>
  <c r="CD69" i="12"/>
  <c r="Z70" i="12"/>
  <c r="AN64" i="12"/>
  <c r="AN66" i="12"/>
  <c r="Z63" i="12"/>
  <c r="Z69" i="12"/>
  <c r="CR69" i="12" s="1"/>
  <c r="CS69" i="12" s="1"/>
  <c r="AN68" i="12"/>
  <c r="CD71" i="12"/>
  <c r="Z64" i="12"/>
  <c r="CR64" i="12" s="1"/>
  <c r="CD62" i="12"/>
  <c r="CD72" i="12"/>
  <c r="Z71" i="12"/>
  <c r="BP71" i="12"/>
  <c r="BP64" i="12"/>
  <c r="BP66" i="12"/>
  <c r="BB73" i="12"/>
  <c r="BP68" i="12"/>
  <c r="AN71" i="12"/>
  <c r="Z66" i="12"/>
  <c r="AN67" i="12"/>
  <c r="AN70" i="12"/>
  <c r="BB66" i="12"/>
  <c r="CD67" i="12"/>
  <c r="Z65" i="12"/>
  <c r="CR65" i="12" s="1"/>
  <c r="Z62" i="12"/>
  <c r="BB69" i="12"/>
  <c r="CD92" i="12"/>
  <c r="Z94" i="12"/>
  <c r="CD99" i="12"/>
  <c r="BB88" i="12"/>
  <c r="Z98" i="12"/>
  <c r="BP99" i="12"/>
  <c r="BP93" i="12"/>
  <c r="BB96" i="12"/>
  <c r="BB93" i="12"/>
  <c r="Z96" i="12"/>
  <c r="Z88" i="12"/>
  <c r="BB95" i="12"/>
  <c r="AN98" i="12"/>
  <c r="CD96" i="12"/>
  <c r="AN94" i="12"/>
  <c r="Z90" i="12"/>
  <c r="AN90" i="12"/>
  <c r="BP95" i="12"/>
  <c r="Z97" i="12"/>
  <c r="CD88" i="12"/>
  <c r="Z91" i="12"/>
  <c r="AN99" i="12"/>
  <c r="AN89" i="12"/>
  <c r="Z93" i="12"/>
  <c r="AN96" i="12"/>
  <c r="BP96" i="12"/>
  <c r="BP90" i="12"/>
  <c r="AN88" i="12"/>
  <c r="Z100" i="12"/>
  <c r="CR100" i="12" s="1"/>
  <c r="Z92" i="12"/>
  <c r="BB91" i="12"/>
  <c r="CD91" i="12"/>
  <c r="CD94" i="12"/>
  <c r="Z99" i="12"/>
  <c r="AN93" i="12"/>
  <c r="CD100" i="12"/>
  <c r="BB99" i="12"/>
  <c r="BP97" i="12"/>
  <c r="CD89" i="12"/>
  <c r="CD93" i="12"/>
  <c r="BP91" i="12"/>
  <c r="BP89" i="12"/>
  <c r="Z89" i="12"/>
  <c r="BP94" i="12"/>
  <c r="BP92" i="12"/>
  <c r="CD97" i="12"/>
  <c r="BP88" i="12"/>
  <c r="BB90" i="12"/>
  <c r="BB92" i="12"/>
  <c r="AN97" i="12"/>
  <c r="BB89" i="12"/>
  <c r="BB97" i="12"/>
  <c r="CD98" i="12"/>
  <c r="CD95" i="12"/>
  <c r="BB94" i="12"/>
  <c r="CD90" i="12"/>
  <c r="Z95" i="12"/>
  <c r="BP98" i="12"/>
  <c r="BB98" i="12"/>
  <c r="AN95" i="12"/>
  <c r="AN92" i="12"/>
  <c r="AN91" i="12"/>
  <c r="BB100" i="12"/>
  <c r="BP100" i="12"/>
  <c r="BP74" i="12"/>
  <c r="AN74" i="12"/>
  <c r="BB74" i="12"/>
  <c r="CD74" i="12"/>
  <c r="Z74" i="12"/>
  <c r="AN100" i="12"/>
  <c r="U5" i="7"/>
  <c r="U9" i="7" s="1"/>
  <c r="CY71" i="12"/>
  <c r="DS71" i="12" s="1"/>
  <c r="DZ71" i="12" s="1"/>
  <c r="EE70" i="12" s="1"/>
  <c r="CJ71" i="12"/>
  <c r="CQ146" i="13"/>
  <c r="CP100" i="12"/>
  <c r="CP64" i="12"/>
  <c r="CP111" i="13"/>
  <c r="CP155" i="13"/>
  <c r="CO67" i="12"/>
  <c r="CO114" i="13"/>
  <c r="DA99" i="12"/>
  <c r="DU99" i="12" s="1"/>
  <c r="CN99" i="12"/>
  <c r="DA36" i="14"/>
  <c r="DU36" i="14" s="1"/>
  <c r="CN36" i="14"/>
  <c r="CM91" i="12"/>
  <c r="CM64" i="12"/>
  <c r="CM40" i="14"/>
  <c r="CL99" i="12"/>
  <c r="CL153" i="13"/>
  <c r="CI147" i="13"/>
  <c r="CK105" i="13"/>
  <c r="CZ105" i="13"/>
  <c r="DT105" i="13" s="1"/>
  <c r="CK112" i="13"/>
  <c r="CZ112" i="13"/>
  <c r="DT112" i="13" s="1"/>
  <c r="CZ85" i="14"/>
  <c r="DT85" i="14" s="1"/>
  <c r="CK85" i="14"/>
  <c r="CG71" i="12"/>
  <c r="CG147" i="13"/>
  <c r="CG151" i="13"/>
  <c r="DR90" i="12"/>
  <c r="CF153" i="13"/>
  <c r="CX153" i="13"/>
  <c r="DR153" i="13" s="1"/>
  <c r="DY153" i="13" s="1"/>
  <c r="ED153" i="13" s="1"/>
  <c r="CX109" i="13"/>
  <c r="DR109" i="13" s="1"/>
  <c r="DY109" i="13" s="1"/>
  <c r="ED109" i="13" s="1"/>
  <c r="CF109" i="13"/>
  <c r="CX79" i="14"/>
  <c r="DR79" i="14" s="1"/>
  <c r="DY79" i="14" s="1"/>
  <c r="CF79" i="14"/>
  <c r="CE154" i="13"/>
  <c r="CH68" i="12"/>
  <c r="CH70" i="12"/>
  <c r="DA89" i="12"/>
  <c r="DU89" i="12" s="1"/>
  <c r="CN89" i="12"/>
  <c r="DA66" i="12"/>
  <c r="DU66" i="12" s="1"/>
  <c r="CN66" i="12"/>
  <c r="CN149" i="13"/>
  <c r="DA149" i="13"/>
  <c r="DU149" i="13" s="1"/>
  <c r="CN104" i="13"/>
  <c r="DA104" i="13"/>
  <c r="DU104" i="13" s="1"/>
  <c r="DA40" i="14"/>
  <c r="DU40" i="14" s="1"/>
  <c r="CN40" i="14"/>
  <c r="DA82" i="14"/>
  <c r="DU82" i="14" s="1"/>
  <c r="DY82" i="14" s="1"/>
  <c r="ED82" i="14" s="1"/>
  <c r="CN82" i="14"/>
  <c r="CM148" i="13"/>
  <c r="CL158" i="13"/>
  <c r="CL108" i="13"/>
  <c r="CL154" i="13"/>
  <c r="CL147" i="13"/>
  <c r="CI89" i="12"/>
  <c r="CI88" i="12"/>
  <c r="CI148" i="13"/>
  <c r="CZ67" i="12"/>
  <c r="DT67" i="12" s="1"/>
  <c r="CK67" i="12"/>
  <c r="CG67" i="12"/>
  <c r="CG104" i="13"/>
  <c r="CX70" i="12"/>
  <c r="DR70" i="12" s="1"/>
  <c r="DY70" i="12" s="1"/>
  <c r="ED69" i="12" s="1"/>
  <c r="CF70" i="12"/>
  <c r="CX152" i="13"/>
  <c r="DR152" i="13" s="1"/>
  <c r="CF152" i="13"/>
  <c r="CF146" i="13"/>
  <c r="CX146" i="13"/>
  <c r="DR146" i="13" s="1"/>
  <c r="DY146" i="13" s="1"/>
  <c r="ED146" i="13" s="1"/>
  <c r="CX147" i="13"/>
  <c r="DR147" i="13" s="1"/>
  <c r="CF147" i="13"/>
  <c r="CE63" i="12"/>
  <c r="CE69" i="12"/>
  <c r="CE104" i="13"/>
  <c r="CE42" i="14"/>
  <c r="CE40" i="14"/>
  <c r="CH99" i="12"/>
  <c r="CH94" i="12"/>
  <c r="CH150" i="13"/>
  <c r="CH106" i="13"/>
  <c r="CY157" i="13"/>
  <c r="DS157" i="13" s="1"/>
  <c r="DZ157" i="13" s="1"/>
  <c r="EE157" i="13" s="1"/>
  <c r="CJ157" i="13"/>
  <c r="CY98" i="12"/>
  <c r="DS98" i="12" s="1"/>
  <c r="CJ98" i="12"/>
  <c r="CY100" i="12"/>
  <c r="DS100" i="12" s="1"/>
  <c r="DZ100" i="12" s="1"/>
  <c r="EE99" i="12" s="1"/>
  <c r="CJ100" i="12"/>
  <c r="CY64" i="12"/>
  <c r="DS64" i="12" s="1"/>
  <c r="CJ64" i="12"/>
  <c r="CO157" i="13"/>
  <c r="CY105" i="13"/>
  <c r="DS105" i="13" s="1"/>
  <c r="DZ105" i="13" s="1"/>
  <c r="EE105" i="13" s="1"/>
  <c r="CJ105" i="13"/>
  <c r="CY38" i="14"/>
  <c r="DS38" i="14" s="1"/>
  <c r="DZ38" i="14" s="1"/>
  <c r="EE38" i="14" s="1"/>
  <c r="CJ38" i="14"/>
  <c r="CQ93" i="12"/>
  <c r="CQ106" i="13"/>
  <c r="CP92" i="12"/>
  <c r="CP108" i="13"/>
  <c r="CP39" i="14"/>
  <c r="CP84" i="14"/>
  <c r="CO74" i="12"/>
  <c r="CO97" i="12"/>
  <c r="DA93" i="12"/>
  <c r="DU93" i="12" s="1"/>
  <c r="CN93" i="12"/>
  <c r="CM71" i="12"/>
  <c r="CM114" i="13"/>
  <c r="CM42" i="14"/>
  <c r="CL83" i="14"/>
  <c r="CI100" i="12"/>
  <c r="DT90" i="12"/>
  <c r="CZ73" i="12"/>
  <c r="DT73" i="12" s="1"/>
  <c r="CK73" i="12"/>
  <c r="CK111" i="13"/>
  <c r="CZ111" i="13"/>
  <c r="DT111" i="13" s="1"/>
  <c r="CZ40" i="14"/>
  <c r="DT40" i="14" s="1"/>
  <c r="CK40" i="14"/>
  <c r="CG72" i="12"/>
  <c r="CG80" i="14"/>
  <c r="CF149" i="13"/>
  <c r="CX149" i="13"/>
  <c r="DR149" i="13" s="1"/>
  <c r="DY149" i="13" s="1"/>
  <c r="ED149" i="13" s="1"/>
  <c r="EQ163" i="13" s="1"/>
  <c r="CE100" i="12"/>
  <c r="CE65" i="12"/>
  <c r="CE111" i="13"/>
  <c r="CH64" i="12"/>
  <c r="CH115" i="13"/>
  <c r="CH153" i="13"/>
  <c r="CJ113" i="13"/>
  <c r="CY113" i="13"/>
  <c r="DS113" i="13" s="1"/>
  <c r="CY158" i="13"/>
  <c r="DS158" i="13" s="1"/>
  <c r="DZ158" i="13" s="1"/>
  <c r="EE158" i="13" s="1"/>
  <c r="CJ158" i="13"/>
  <c r="X5" i="7"/>
  <c r="CY151" i="13"/>
  <c r="DS151" i="13" s="1"/>
  <c r="DZ151" i="13" s="1"/>
  <c r="EE151" i="13" s="1"/>
  <c r="CJ151" i="13"/>
  <c r="CY17" i="15"/>
  <c r="DS17" i="15" s="1"/>
  <c r="CJ17" i="15"/>
  <c r="CQ67" i="12"/>
  <c r="CQ108" i="13"/>
  <c r="CQ105" i="13"/>
  <c r="CP104" i="13"/>
  <c r="CP147" i="13"/>
  <c r="CO153" i="13"/>
  <c r="CO39" i="14"/>
  <c r="DA68" i="12"/>
  <c r="DU68" i="12" s="1"/>
  <c r="CN68" i="12"/>
  <c r="CN148" i="13"/>
  <c r="DA148" i="13"/>
  <c r="DU148" i="13" s="1"/>
  <c r="CN155" i="13"/>
  <c r="DA155" i="13"/>
  <c r="DU155" i="13" s="1"/>
  <c r="DA81" i="14"/>
  <c r="DU81" i="14" s="1"/>
  <c r="CN81" i="14"/>
  <c r="DA60" i="15"/>
  <c r="DU60" i="15" s="1"/>
  <c r="CN60" i="15"/>
  <c r="CM73" i="12"/>
  <c r="CM72" i="12"/>
  <c r="CM104" i="13"/>
  <c r="CM111" i="13"/>
  <c r="CM83" i="14"/>
  <c r="CL80" i="14"/>
  <c r="CI73" i="12"/>
  <c r="CI158" i="13"/>
  <c r="CI150" i="13"/>
  <c r="CI39" i="14"/>
  <c r="CZ95" i="12"/>
  <c r="DT95" i="12" s="1"/>
  <c r="CK95" i="12"/>
  <c r="CZ72" i="12"/>
  <c r="DT72" i="12" s="1"/>
  <c r="CK72" i="12"/>
  <c r="CZ104" i="13"/>
  <c r="DT104" i="13" s="1"/>
  <c r="CK104" i="13"/>
  <c r="CZ36" i="14"/>
  <c r="DT36" i="14" s="1"/>
  <c r="CK36" i="14"/>
  <c r="CG74" i="12"/>
  <c r="CG98" i="12"/>
  <c r="DR99" i="12"/>
  <c r="DY99" i="12" s="1"/>
  <c r="ED98" i="12" s="1"/>
  <c r="CX110" i="13"/>
  <c r="DR110" i="13" s="1"/>
  <c r="DY110" i="13" s="1"/>
  <c r="ED110" i="13" s="1"/>
  <c r="CF110" i="13"/>
  <c r="CX157" i="13"/>
  <c r="DR157" i="13" s="1"/>
  <c r="CF157" i="13"/>
  <c r="CX148" i="13"/>
  <c r="DR148" i="13" s="1"/>
  <c r="CF148" i="13"/>
  <c r="CE96" i="12"/>
  <c r="CE73" i="12"/>
  <c r="CH100" i="12"/>
  <c r="CH158" i="13"/>
  <c r="CH114" i="13"/>
  <c r="CH111" i="13"/>
  <c r="CY88" i="12"/>
  <c r="CJ88" i="12"/>
  <c r="CY97" i="12"/>
  <c r="DS97" i="12" s="1"/>
  <c r="CJ97" i="12"/>
  <c r="CQ100" i="12"/>
  <c r="W5" i="7"/>
  <c r="W9" i="7" s="1"/>
  <c r="L6" i="7"/>
  <c r="Q6" i="7" s="1"/>
  <c r="M6" i="7"/>
  <c r="CJ148" i="13"/>
  <c r="CY148" i="13"/>
  <c r="DS148" i="13" s="1"/>
  <c r="CY82" i="14"/>
  <c r="DS82" i="14" s="1"/>
  <c r="CJ82" i="14"/>
  <c r="CQ158" i="13"/>
  <c r="CQ155" i="13"/>
  <c r="CQ42" i="14"/>
  <c r="CQ79" i="14"/>
  <c r="CP89" i="12"/>
  <c r="CP99" i="12"/>
  <c r="CP65" i="12"/>
  <c r="CP149" i="13"/>
  <c r="CP106" i="13"/>
  <c r="CO62" i="12"/>
  <c r="CO107" i="13"/>
  <c r="CO147" i="13"/>
  <c r="CO155" i="13"/>
  <c r="DA96" i="12"/>
  <c r="DU96" i="12" s="1"/>
  <c r="CN96" i="12"/>
  <c r="DA157" i="13"/>
  <c r="DU157" i="13" s="1"/>
  <c r="CN157" i="13"/>
  <c r="CN109" i="13"/>
  <c r="DA109" i="13"/>
  <c r="DU109" i="13" s="1"/>
  <c r="CM151" i="13"/>
  <c r="CM146" i="13"/>
  <c r="CM85" i="14"/>
  <c r="CL89" i="12"/>
  <c r="CL152" i="13"/>
  <c r="CL106" i="13"/>
  <c r="CL103" i="13"/>
  <c r="CL37" i="14"/>
  <c r="CL82" i="14"/>
  <c r="CI98" i="12"/>
  <c r="CI107" i="13"/>
  <c r="CI110" i="13"/>
  <c r="CI40" i="14"/>
  <c r="CI83" i="14"/>
  <c r="CZ64" i="12"/>
  <c r="DT64" i="12" s="1"/>
  <c r="CK64" i="12"/>
  <c r="CZ115" i="13"/>
  <c r="DT115" i="13" s="1"/>
  <c r="CK115" i="13"/>
  <c r="CZ148" i="13"/>
  <c r="DT148" i="13" s="1"/>
  <c r="CK148" i="13"/>
  <c r="CK37" i="14"/>
  <c r="CZ37" i="14"/>
  <c r="DT37" i="14" s="1"/>
  <c r="CZ81" i="14"/>
  <c r="DT81" i="14" s="1"/>
  <c r="CK81" i="14"/>
  <c r="CG64" i="12"/>
  <c r="CG150" i="13"/>
  <c r="CX103" i="13"/>
  <c r="DR103" i="13" s="1"/>
  <c r="DY103" i="13" s="1"/>
  <c r="ED103" i="13" s="1"/>
  <c r="CF103" i="13"/>
  <c r="CX37" i="14"/>
  <c r="DR37" i="14" s="1"/>
  <c r="DY37" i="14" s="1"/>
  <c r="ED37" i="14" s="1"/>
  <c r="CF37" i="14"/>
  <c r="CX60" i="15"/>
  <c r="DR60" i="15" s="1"/>
  <c r="CF60" i="15"/>
  <c r="CE67" i="12"/>
  <c r="CE109" i="13"/>
  <c r="CH95" i="12"/>
  <c r="CH112" i="13"/>
  <c r="CH37" i="14"/>
  <c r="X7" i="7"/>
  <c r="CQ39" i="14"/>
  <c r="CY93" i="12"/>
  <c r="DS93" i="12" s="1"/>
  <c r="DZ93" i="12" s="1"/>
  <c r="EE93" i="12" s="1"/>
  <c r="CJ93" i="12"/>
  <c r="CY91" i="12"/>
  <c r="DS91" i="12" s="1"/>
  <c r="CJ91" i="12"/>
  <c r="T9" i="7"/>
  <c r="E11" i="7"/>
  <c r="C11" i="7"/>
  <c r="B11" i="7"/>
  <c r="D11" i="7"/>
  <c r="F11" i="7"/>
  <c r="N6" i="7"/>
  <c r="U6" i="7"/>
  <c r="CY95" i="12"/>
  <c r="DS95" i="12" s="1"/>
  <c r="DZ95" i="12" s="1"/>
  <c r="EE94" i="12" s="1"/>
  <c r="CJ95" i="12"/>
  <c r="CY90" i="12"/>
  <c r="DS90" i="12" s="1"/>
  <c r="DZ90" i="12" s="1"/>
  <c r="CJ90" i="12"/>
  <c r="CY109" i="13"/>
  <c r="DS109" i="13" s="1"/>
  <c r="DZ109" i="13" s="1"/>
  <c r="EE109" i="13" s="1"/>
  <c r="CJ109" i="13"/>
  <c r="CY149" i="13"/>
  <c r="DS149" i="13" s="1"/>
  <c r="DZ149" i="13" s="1"/>
  <c r="EE149" i="13" s="1"/>
  <c r="CJ149" i="13"/>
  <c r="CY42" i="14"/>
  <c r="DS42" i="14" s="1"/>
  <c r="DZ42" i="14" s="1"/>
  <c r="EE42" i="14" s="1"/>
  <c r="CJ42" i="14"/>
  <c r="CQ94" i="12"/>
  <c r="CQ115" i="13"/>
  <c r="CP83" i="14"/>
  <c r="CO90" i="12"/>
  <c r="CO146" i="13"/>
  <c r="CO106" i="13"/>
  <c r="CO42" i="14"/>
  <c r="DA74" i="12"/>
  <c r="DU74" i="12" s="1"/>
  <c r="CN74" i="12"/>
  <c r="DA71" i="12"/>
  <c r="DU71" i="12" s="1"/>
  <c r="CN71" i="12"/>
  <c r="DA156" i="13"/>
  <c r="DU156" i="13" s="1"/>
  <c r="CN156" i="13"/>
  <c r="CM65" i="12"/>
  <c r="CM109" i="13"/>
  <c r="CM39" i="14"/>
  <c r="CM60" i="15"/>
  <c r="CL88" i="12"/>
  <c r="CL73" i="12"/>
  <c r="CL156" i="13"/>
  <c r="CL42" i="14"/>
  <c r="CI92" i="12"/>
  <c r="CI94" i="12"/>
  <c r="CI68" i="12"/>
  <c r="CI157" i="13"/>
  <c r="CI149" i="13"/>
  <c r="CI38" i="14"/>
  <c r="CZ98" i="12"/>
  <c r="DT98" i="12" s="1"/>
  <c r="CK98" i="12"/>
  <c r="CK150" i="13"/>
  <c r="CZ150" i="13"/>
  <c r="DT150" i="13" s="1"/>
  <c r="CZ80" i="14"/>
  <c r="DT80" i="14" s="1"/>
  <c r="CK80" i="14"/>
  <c r="CG103" i="13"/>
  <c r="CG114" i="13"/>
  <c r="CX74" i="12"/>
  <c r="DR74" i="12" s="1"/>
  <c r="DY74" i="12" s="1"/>
  <c r="ED73" i="12" s="1"/>
  <c r="CF74" i="12"/>
  <c r="CX68" i="12"/>
  <c r="DR68" i="12" s="1"/>
  <c r="DY68" i="12" s="1"/>
  <c r="CF68" i="12"/>
  <c r="CX40" i="14"/>
  <c r="DR40" i="14" s="1"/>
  <c r="DY40" i="14" s="1"/>
  <c r="ED40" i="14" s="1"/>
  <c r="CF40" i="14"/>
  <c r="CE97" i="12"/>
  <c r="CE151" i="13"/>
  <c r="CE81" i="14"/>
  <c r="CH157" i="13"/>
  <c r="CH148" i="13"/>
  <c r="CH84" i="14"/>
  <c r="CP42" i="14"/>
  <c r="CO69" i="12"/>
  <c r="CO151" i="13"/>
  <c r="CN97" i="12"/>
  <c r="DA97" i="12"/>
  <c r="DU97" i="12" s="1"/>
  <c r="CN62" i="12"/>
  <c r="DQ62" i="12"/>
  <c r="DU62" i="12" s="1"/>
  <c r="CN103" i="13"/>
  <c r="DA103" i="13"/>
  <c r="DU103" i="13" s="1"/>
  <c r="CM68" i="12"/>
  <c r="CI154" i="13"/>
  <c r="CK103" i="13"/>
  <c r="CZ103" i="13"/>
  <c r="DT103" i="13" s="1"/>
  <c r="CG111" i="13"/>
  <c r="CG42" i="14"/>
  <c r="CG79" i="14"/>
  <c r="CX155" i="13"/>
  <c r="DR155" i="13" s="1"/>
  <c r="DY155" i="13" s="1"/>
  <c r="ED155" i="13" s="1"/>
  <c r="CF155" i="13"/>
  <c r="CX36" i="14"/>
  <c r="DR36" i="14" s="1"/>
  <c r="DY36" i="14" s="1"/>
  <c r="CF36" i="14"/>
  <c r="CX85" i="14"/>
  <c r="DR85" i="14" s="1"/>
  <c r="CF85" i="14"/>
  <c r="CE89" i="12"/>
  <c r="CE68" i="12"/>
  <c r="CE147" i="13"/>
  <c r="CE36" i="14"/>
  <c r="CH89" i="12"/>
  <c r="CH72" i="12"/>
  <c r="CH149" i="13"/>
  <c r="X8" i="7"/>
  <c r="CO99" i="12"/>
  <c r="P6" i="7"/>
  <c r="W6" i="7"/>
  <c r="CY69" i="12"/>
  <c r="DS69" i="12" s="1"/>
  <c r="CJ69" i="12"/>
  <c r="CJ108" i="13"/>
  <c r="CY108" i="13"/>
  <c r="DS108" i="13" s="1"/>
  <c r="CY37" i="14"/>
  <c r="DS37" i="14" s="1"/>
  <c r="DZ37" i="14" s="1"/>
  <c r="EE37" i="14" s="1"/>
  <c r="CJ37" i="14"/>
  <c r="CY80" i="14"/>
  <c r="DS80" i="14" s="1"/>
  <c r="DZ80" i="14" s="1"/>
  <c r="EE80" i="14" s="1"/>
  <c r="CJ80" i="14"/>
  <c r="CQ36" i="14"/>
  <c r="CQ85" i="14"/>
  <c r="CP94" i="12"/>
  <c r="CP150" i="13"/>
  <c r="CP146" i="13"/>
  <c r="CP85" i="14"/>
  <c r="CP79" i="14"/>
  <c r="CO89" i="12"/>
  <c r="CO72" i="12"/>
  <c r="DA84" i="14"/>
  <c r="DU84" i="14" s="1"/>
  <c r="CN84" i="14"/>
  <c r="CM156" i="13"/>
  <c r="CL91" i="12"/>
  <c r="CL69" i="12"/>
  <c r="CL17" i="15"/>
  <c r="CI90" i="12"/>
  <c r="CZ94" i="12"/>
  <c r="DT94" i="12" s="1"/>
  <c r="CK94" i="12"/>
  <c r="CG107" i="13"/>
  <c r="CG81" i="14"/>
  <c r="CX81" i="14"/>
  <c r="DR81" i="14" s="1"/>
  <c r="DY81" i="14" s="1"/>
  <c r="ED81" i="14" s="1"/>
  <c r="CF81" i="14"/>
  <c r="CE99" i="12"/>
  <c r="CH113" i="13"/>
  <c r="CY68" i="12"/>
  <c r="DS68" i="12" s="1"/>
  <c r="CJ68" i="12"/>
  <c r="CY67" i="12"/>
  <c r="DS67" i="12" s="1"/>
  <c r="DZ67" i="12" s="1"/>
  <c r="EE67" i="12" s="1"/>
  <c r="CJ67" i="12"/>
  <c r="CQ98" i="12"/>
  <c r="CQ152" i="13"/>
  <c r="CP93" i="12"/>
  <c r="CP73" i="12"/>
  <c r="CP115" i="13"/>
  <c r="CP153" i="13"/>
  <c r="CP151" i="13"/>
  <c r="CO68" i="12"/>
  <c r="CO40" i="14"/>
  <c r="CO81" i="14"/>
  <c r="DA92" i="12"/>
  <c r="DU92" i="12" s="1"/>
  <c r="CN92" i="12"/>
  <c r="DA63" i="12"/>
  <c r="DU63" i="12" s="1"/>
  <c r="CN63" i="12"/>
  <c r="CM155" i="13"/>
  <c r="CM38" i="14"/>
  <c r="CL72" i="12"/>
  <c r="CL67" i="12"/>
  <c r="CL64" i="12"/>
  <c r="CL151" i="13"/>
  <c r="CL148" i="13"/>
  <c r="CL60" i="15"/>
  <c r="CI115" i="13"/>
  <c r="CZ99" i="12"/>
  <c r="DT99" i="12" s="1"/>
  <c r="CK99" i="12"/>
  <c r="CZ109" i="13"/>
  <c r="DT109" i="13" s="1"/>
  <c r="CK109" i="13"/>
  <c r="CG63" i="12"/>
  <c r="CG155" i="13"/>
  <c r="CG83" i="14"/>
  <c r="DR100" i="12"/>
  <c r="DY100" i="12" s="1"/>
  <c r="ED99" i="12" s="1"/>
  <c r="CX89" i="12"/>
  <c r="DR89" i="12" s="1"/>
  <c r="DY89" i="12" s="1"/>
  <c r="CF89" i="12"/>
  <c r="CF69" i="12"/>
  <c r="CX69" i="12"/>
  <c r="DR69" i="12" s="1"/>
  <c r="DY69" i="12" s="1"/>
  <c r="ED68" i="12" s="1"/>
  <c r="CX73" i="12"/>
  <c r="DR73" i="12" s="1"/>
  <c r="DY73" i="12" s="1"/>
  <c r="ED72" i="12" s="1"/>
  <c r="CF73" i="12"/>
  <c r="CF150" i="13"/>
  <c r="CX150" i="13"/>
  <c r="DR150" i="13" s="1"/>
  <c r="DY150" i="13" s="1"/>
  <c r="ED150" i="13" s="1"/>
  <c r="CE153" i="13"/>
  <c r="CE149" i="13"/>
  <c r="CE38" i="14"/>
  <c r="CE60" i="15"/>
  <c r="CH88" i="12"/>
  <c r="CH65" i="12"/>
  <c r="CH67" i="12"/>
  <c r="CH41" i="14"/>
  <c r="CH79" i="14"/>
  <c r="CQ73" i="12"/>
  <c r="CY65" i="12"/>
  <c r="DS65" i="12" s="1"/>
  <c r="DZ65" i="12" s="1"/>
  <c r="CJ65" i="12"/>
  <c r="L7" i="7"/>
  <c r="Q7" i="7" s="1"/>
  <c r="CY99" i="12"/>
  <c r="DS99" i="12" s="1"/>
  <c r="DZ99" i="12" s="1"/>
  <c r="EE98" i="12" s="1"/>
  <c r="CJ99" i="12"/>
  <c r="CY70" i="12"/>
  <c r="DS70" i="12" s="1"/>
  <c r="DZ70" i="12" s="1"/>
  <c r="EE69" i="12" s="1"/>
  <c r="CJ70" i="12"/>
  <c r="CY66" i="12"/>
  <c r="DS66" i="12" s="1"/>
  <c r="DZ66" i="12" s="1"/>
  <c r="EE66" i="12" s="1"/>
  <c r="CJ66" i="12"/>
  <c r="DS62" i="12"/>
  <c r="DZ62" i="12" s="1"/>
  <c r="CY114" i="13"/>
  <c r="DS114" i="13" s="1"/>
  <c r="CJ114" i="13"/>
  <c r="CY146" i="13"/>
  <c r="DS146" i="13" s="1"/>
  <c r="DZ146" i="13" s="1"/>
  <c r="EE146" i="13" s="1"/>
  <c r="CJ146" i="13"/>
  <c r="CY39" i="14"/>
  <c r="DS39" i="14" s="1"/>
  <c r="DZ39" i="14" s="1"/>
  <c r="EE39" i="14" s="1"/>
  <c r="CJ39" i="14"/>
  <c r="CY60" i="15"/>
  <c r="DS60" i="15" s="1"/>
  <c r="DZ60" i="15" s="1"/>
  <c r="CJ60" i="15"/>
  <c r="CQ91" i="12"/>
  <c r="CQ111" i="13"/>
  <c r="CQ17" i="15"/>
  <c r="CP72" i="12"/>
  <c r="CP114" i="13"/>
  <c r="CP152" i="13"/>
  <c r="CO88" i="12"/>
  <c r="CO113" i="13"/>
  <c r="CO110" i="13"/>
  <c r="CO83" i="14"/>
  <c r="CO85" i="14"/>
  <c r="DA64" i="12"/>
  <c r="CN64" i="12"/>
  <c r="DA105" i="13"/>
  <c r="DU105" i="13" s="1"/>
  <c r="CN105" i="13"/>
  <c r="DA112" i="13"/>
  <c r="DU112" i="13" s="1"/>
  <c r="CN112" i="13"/>
  <c r="DA83" i="14"/>
  <c r="DU83" i="14" s="1"/>
  <c r="CN83" i="14"/>
  <c r="CM74" i="12"/>
  <c r="CM110" i="13"/>
  <c r="CI91" i="12"/>
  <c r="CI42" i="14"/>
  <c r="CI17" i="15"/>
  <c r="DT91" i="12"/>
  <c r="CZ97" i="12"/>
  <c r="DT97" i="12" s="1"/>
  <c r="CK97" i="12"/>
  <c r="CZ68" i="12"/>
  <c r="DT68" i="12" s="1"/>
  <c r="CK68" i="12"/>
  <c r="CZ82" i="14"/>
  <c r="DT82" i="14" s="1"/>
  <c r="CK82" i="14"/>
  <c r="CG91" i="12"/>
  <c r="CG68" i="12"/>
  <c r="DR88" i="12"/>
  <c r="DY88" i="12" s="1"/>
  <c r="CX106" i="13"/>
  <c r="DR106" i="13" s="1"/>
  <c r="DY106" i="13" s="1"/>
  <c r="ED106" i="13" s="1"/>
  <c r="CF106" i="13"/>
  <c r="CE152" i="13"/>
  <c r="CE114" i="13"/>
  <c r="CH96" i="12"/>
  <c r="CH107" i="13"/>
  <c r="CH154" i="13"/>
  <c r="CH110" i="13"/>
  <c r="CQ96" i="12"/>
  <c r="CQ112" i="13"/>
  <c r="CQ80" i="14"/>
  <c r="CP156" i="13"/>
  <c r="CP37" i="14"/>
  <c r="CP81" i="14"/>
  <c r="CO94" i="12"/>
  <c r="CO154" i="13"/>
  <c r="CO84" i="14"/>
  <c r="DA108" i="13"/>
  <c r="DU108" i="13" s="1"/>
  <c r="CN108" i="13"/>
  <c r="CM66" i="12"/>
  <c r="CL157" i="13"/>
  <c r="CL110" i="13"/>
  <c r="CL36" i="14"/>
  <c r="CL84" i="14"/>
  <c r="CI99" i="12"/>
  <c r="CI64" i="12"/>
  <c r="CI84" i="14"/>
  <c r="CZ158" i="13"/>
  <c r="DT158" i="13" s="1"/>
  <c r="CK158" i="13"/>
  <c r="CK153" i="13"/>
  <c r="CZ153" i="13"/>
  <c r="DT153" i="13" s="1"/>
  <c r="CK114" i="13"/>
  <c r="CZ114" i="13"/>
  <c r="DT114" i="13" s="1"/>
  <c r="CG149" i="13"/>
  <c r="CG108" i="13"/>
  <c r="DR96" i="12"/>
  <c r="CX63" i="12"/>
  <c r="DR63" i="12" s="1"/>
  <c r="CF63" i="12"/>
  <c r="CX72" i="12"/>
  <c r="DR72" i="12" s="1"/>
  <c r="DY72" i="12" s="1"/>
  <c r="ED71" i="12" s="1"/>
  <c r="EQ77" i="12" s="1"/>
  <c r="FA77" i="12" s="1"/>
  <c r="CF72" i="12"/>
  <c r="CX107" i="13"/>
  <c r="DR107" i="13" s="1"/>
  <c r="DY107" i="13" s="1"/>
  <c r="ED107" i="13" s="1"/>
  <c r="CF107" i="13"/>
  <c r="CX39" i="14"/>
  <c r="DR39" i="14" s="1"/>
  <c r="DY39" i="14" s="1"/>
  <c r="ED39" i="14" s="1"/>
  <c r="CF39" i="14"/>
  <c r="CE62" i="12"/>
  <c r="CH97" i="12"/>
  <c r="CH109" i="13"/>
  <c r="CH38" i="14"/>
  <c r="CQ104" i="13"/>
  <c r="CQ113" i="13"/>
  <c r="CQ60" i="15"/>
  <c r="CP66" i="12"/>
  <c r="CP80" i="14"/>
  <c r="CO98" i="12"/>
  <c r="DA94" i="12"/>
  <c r="DU94" i="12" s="1"/>
  <c r="CN94" i="12"/>
  <c r="DU64" i="12"/>
  <c r="CN154" i="13"/>
  <c r="DA154" i="13"/>
  <c r="DU154" i="13" s="1"/>
  <c r="CM80" i="14"/>
  <c r="CL74" i="12"/>
  <c r="CL97" i="12"/>
  <c r="CI69" i="12"/>
  <c r="CI36" i="14"/>
  <c r="CZ69" i="12"/>
  <c r="DT69" i="12" s="1"/>
  <c r="CK69" i="12"/>
  <c r="CK108" i="13"/>
  <c r="CZ108" i="13"/>
  <c r="DT108" i="13" s="1"/>
  <c r="CK113" i="13"/>
  <c r="CZ113" i="13"/>
  <c r="DT113" i="13" s="1"/>
  <c r="CZ17" i="15"/>
  <c r="DT17" i="15" s="1"/>
  <c r="CK17" i="15"/>
  <c r="CG97" i="12"/>
  <c r="CG90" i="12"/>
  <c r="DR64" i="12"/>
  <c r="CX65" i="12"/>
  <c r="DR65" i="12" s="1"/>
  <c r="DY65" i="12" s="1"/>
  <c r="ED65" i="12" s="1"/>
  <c r="EQ67" i="12" s="1"/>
  <c r="FA67" i="12" s="1"/>
  <c r="CF65" i="12"/>
  <c r="CX113" i="13"/>
  <c r="DR113" i="13" s="1"/>
  <c r="DY113" i="13" s="1"/>
  <c r="ED113" i="13" s="1"/>
  <c r="EQ135" i="13" s="1"/>
  <c r="FI135" i="13" s="1"/>
  <c r="CF113" i="13"/>
  <c r="CE74" i="12"/>
  <c r="CE110" i="13"/>
  <c r="CE37" i="14"/>
  <c r="CE82" i="14"/>
  <c r="CH36" i="14"/>
  <c r="CY74" i="12"/>
  <c r="DS74" i="12" s="1"/>
  <c r="DZ74" i="12" s="1"/>
  <c r="EE73" i="12" s="1"/>
  <c r="CJ74" i="12"/>
  <c r="CY92" i="12"/>
  <c r="DS92" i="12" s="1"/>
  <c r="DZ92" i="12" s="1"/>
  <c r="EE92" i="12" s="1"/>
  <c r="CJ92" i="12"/>
  <c r="CY73" i="12"/>
  <c r="DS73" i="12" s="1"/>
  <c r="DZ73" i="12" s="1"/>
  <c r="EE72" i="12" s="1"/>
  <c r="CJ73" i="12"/>
  <c r="CJ103" i="13"/>
  <c r="CY103" i="13"/>
  <c r="DS103" i="13" s="1"/>
  <c r="DZ103" i="13" s="1"/>
  <c r="EE103" i="13" s="1"/>
  <c r="CY84" i="14"/>
  <c r="DS84" i="14" s="1"/>
  <c r="DZ84" i="14" s="1"/>
  <c r="EE84" i="14" s="1"/>
  <c r="CJ84" i="14"/>
  <c r="DS88" i="12"/>
  <c r="DZ88" i="12" s="1"/>
  <c r="CJ147" i="13"/>
  <c r="CY147" i="13"/>
  <c r="DS147" i="13" s="1"/>
  <c r="DZ147" i="13" s="1"/>
  <c r="EE147" i="13" s="1"/>
  <c r="CQ62" i="12"/>
  <c r="CQ114" i="13"/>
  <c r="CQ156" i="13"/>
  <c r="CQ38" i="14"/>
  <c r="CP103" i="13"/>
  <c r="CP110" i="13"/>
  <c r="CP41" i="14"/>
  <c r="CO64" i="12"/>
  <c r="CO111" i="13"/>
  <c r="CO80" i="14"/>
  <c r="DA98" i="12"/>
  <c r="DU98" i="12" s="1"/>
  <c r="CN98" i="12"/>
  <c r="CN152" i="13"/>
  <c r="DA152" i="13"/>
  <c r="DU152" i="13" s="1"/>
  <c r="CN147" i="13"/>
  <c r="DA147" i="13"/>
  <c r="DU147" i="13" s="1"/>
  <c r="CL96" i="12"/>
  <c r="CL65" i="12"/>
  <c r="CL111" i="13"/>
  <c r="CI95" i="12"/>
  <c r="CI66" i="12"/>
  <c r="CI70" i="12"/>
  <c r="CI155" i="13"/>
  <c r="CI60" i="15"/>
  <c r="CZ91" i="12"/>
  <c r="CK91" i="12"/>
  <c r="CZ63" i="12"/>
  <c r="DT63" i="12" s="1"/>
  <c r="CK63" i="12"/>
  <c r="CZ41" i="14"/>
  <c r="DT41" i="14" s="1"/>
  <c r="CK41" i="14"/>
  <c r="CG37" i="14"/>
  <c r="CF93" i="12"/>
  <c r="CX93" i="12"/>
  <c r="DR93" i="12" s="1"/>
  <c r="DY93" i="12" s="1"/>
  <c r="ED93" i="12" s="1"/>
  <c r="CX94" i="12"/>
  <c r="DR94" i="12" s="1"/>
  <c r="CF94" i="12"/>
  <c r="CF154" i="13"/>
  <c r="CX154" i="13"/>
  <c r="DR154" i="13" s="1"/>
  <c r="CH71" i="12"/>
  <c r="CH63" i="12"/>
  <c r="CH62" i="12"/>
  <c r="CH151" i="13"/>
  <c r="Q4" i="7"/>
  <c r="P288" i="8"/>
  <c r="R287" i="8"/>
  <c r="G288" i="8"/>
  <c r="H287" i="8"/>
  <c r="P286" i="8"/>
  <c r="R285" i="8"/>
  <c r="H286" i="8"/>
  <c r="H285" i="8"/>
  <c r="P284" i="8"/>
  <c r="R283" i="8"/>
  <c r="G284" i="8"/>
  <c r="H283" i="8"/>
  <c r="P282" i="8"/>
  <c r="R281" i="8"/>
  <c r="G282" i="8"/>
  <c r="H281" i="8"/>
  <c r="P280" i="8"/>
  <c r="R279" i="8"/>
  <c r="F280" i="8"/>
  <c r="H279" i="8"/>
  <c r="P278" i="8"/>
  <c r="R277" i="8"/>
  <c r="F278" i="8"/>
  <c r="H277" i="8"/>
  <c r="P276" i="8"/>
  <c r="R275" i="8"/>
  <c r="G276" i="8"/>
  <c r="H275" i="8"/>
  <c r="P274" i="8"/>
  <c r="Q273" i="8"/>
  <c r="F274" i="8"/>
  <c r="H273" i="8"/>
  <c r="P272" i="8"/>
  <c r="R271" i="8"/>
  <c r="H272" i="8"/>
  <c r="H271" i="8"/>
  <c r="P270" i="8"/>
  <c r="R269" i="8"/>
  <c r="F270" i="8"/>
  <c r="H269" i="8"/>
  <c r="S21" i="8"/>
  <c r="DZ41" i="14" l="1"/>
  <c r="EE41" i="14" s="1"/>
  <c r="ER104" i="12"/>
  <c r="FB104" i="12" s="1"/>
  <c r="ER105" i="12"/>
  <c r="FB105" i="12" s="1"/>
  <c r="ER78" i="12"/>
  <c r="FB78" i="12" s="1"/>
  <c r="ER79" i="12"/>
  <c r="FB79" i="12" s="1"/>
  <c r="EQ120" i="13"/>
  <c r="FI120" i="13" s="1"/>
  <c r="ED36" i="14"/>
  <c r="DY60" i="15"/>
  <c r="DY157" i="13"/>
  <c r="ED157" i="13" s="1"/>
  <c r="DZ113" i="13"/>
  <c r="EE113" i="13" s="1"/>
  <c r="ER135" i="13" s="1"/>
  <c r="FJ135" i="13" s="1"/>
  <c r="EQ173" i="13"/>
  <c r="EQ174" i="13"/>
  <c r="CR92" i="12"/>
  <c r="CR67" i="12"/>
  <c r="CS67" i="12" s="1"/>
  <c r="Z43" i="14"/>
  <c r="CR42" i="14"/>
  <c r="CS42" i="14" s="1"/>
  <c r="DZ63" i="12"/>
  <c r="CR109" i="13"/>
  <c r="CS109" i="13" s="1"/>
  <c r="DY66" i="12"/>
  <c r="ED66" i="12" s="1"/>
  <c r="CS100" i="12"/>
  <c r="J100" i="12"/>
  <c r="CR98" i="12"/>
  <c r="CS98" i="12" s="1"/>
  <c r="J148" i="13"/>
  <c r="CS148" i="13"/>
  <c r="DY24" i="15"/>
  <c r="ED24" i="15" s="1"/>
  <c r="ED17" i="15"/>
  <c r="EQ164" i="13"/>
  <c r="EQ167" i="13"/>
  <c r="EQ166" i="13"/>
  <c r="EQ165" i="13"/>
  <c r="ER126" i="13"/>
  <c r="FJ126" i="13" s="1"/>
  <c r="ER128" i="13"/>
  <c r="FJ128" i="13" s="1"/>
  <c r="ER125" i="13"/>
  <c r="FJ125" i="13" s="1"/>
  <c r="ER127" i="13"/>
  <c r="FJ127" i="13" s="1"/>
  <c r="ER129" i="13"/>
  <c r="FJ129" i="13" s="1"/>
  <c r="EQ177" i="13"/>
  <c r="EQ176" i="13"/>
  <c r="EQ131" i="13"/>
  <c r="FI131" i="13" s="1"/>
  <c r="EQ130" i="13"/>
  <c r="FI130" i="13" s="1"/>
  <c r="DY90" i="12"/>
  <c r="ED90" i="12" s="1"/>
  <c r="EQ92" i="12" s="1"/>
  <c r="FA92" i="12" s="1"/>
  <c r="CR37" i="14"/>
  <c r="CR17" i="15"/>
  <c r="DZ156" i="13"/>
  <c r="EE156" i="13" s="1"/>
  <c r="ER178" i="13" s="1"/>
  <c r="DZ96" i="12"/>
  <c r="EE95" i="12" s="1"/>
  <c r="ER88" i="12"/>
  <c r="ER89" i="12"/>
  <c r="FB89" i="12" s="1"/>
  <c r="DY154" i="13"/>
  <c r="ED154" i="13" s="1"/>
  <c r="EQ175" i="13" s="1"/>
  <c r="ER95" i="12"/>
  <c r="FB95" i="12" s="1"/>
  <c r="ER94" i="12"/>
  <c r="FB94" i="12" s="1"/>
  <c r="ER96" i="12"/>
  <c r="FB96" i="12" s="1"/>
  <c r="DZ82" i="14"/>
  <c r="EE82" i="14" s="1"/>
  <c r="EQ105" i="12"/>
  <c r="FA105" i="12" s="1"/>
  <c r="EQ104" i="12"/>
  <c r="FA104" i="12" s="1"/>
  <c r="CR63" i="12"/>
  <c r="CR155" i="13"/>
  <c r="CS155" i="13" s="1"/>
  <c r="DY84" i="14"/>
  <c r="ED84" i="14" s="1"/>
  <c r="DY156" i="13"/>
  <c r="ED156" i="13" s="1"/>
  <c r="EQ178" i="13" s="1"/>
  <c r="DY112" i="13"/>
  <c r="ED112" i="13" s="1"/>
  <c r="EQ104" i="13"/>
  <c r="FI104" i="13" s="1"/>
  <c r="EQ108" i="13"/>
  <c r="FI108" i="13" s="1"/>
  <c r="EQ103" i="13"/>
  <c r="EQ106" i="13"/>
  <c r="FI106" i="13" s="1"/>
  <c r="EQ105" i="13"/>
  <c r="FI105" i="13" s="1"/>
  <c r="EQ107" i="13"/>
  <c r="FI107" i="13" s="1"/>
  <c r="EQ109" i="13"/>
  <c r="FI109" i="13" s="1"/>
  <c r="DZ148" i="13"/>
  <c r="EE148" i="13" s="1"/>
  <c r="CR94" i="12"/>
  <c r="CS94" i="12" s="1"/>
  <c r="DY63" i="12"/>
  <c r="ED63" i="12" s="1"/>
  <c r="EQ65" i="12" s="1"/>
  <c r="FA65" i="12" s="1"/>
  <c r="EE60" i="15"/>
  <c r="DZ67" i="15"/>
  <c r="EE67" i="15" s="1"/>
  <c r="ER60" i="15" s="1"/>
  <c r="DY96" i="12"/>
  <c r="ED95" i="12" s="1"/>
  <c r="CR113" i="13"/>
  <c r="CS113" i="13" s="1"/>
  <c r="CR150" i="13"/>
  <c r="CR80" i="14"/>
  <c r="DZ115" i="13"/>
  <c r="EE115" i="13" s="1"/>
  <c r="DZ152" i="13"/>
  <c r="EE152" i="13" s="1"/>
  <c r="CR38" i="14"/>
  <c r="DY94" i="12"/>
  <c r="DZ108" i="13"/>
  <c r="EE108" i="13" s="1"/>
  <c r="ER75" i="12"/>
  <c r="FB75" i="12" s="1"/>
  <c r="ER76" i="12"/>
  <c r="FB76" i="12" s="1"/>
  <c r="ER74" i="12"/>
  <c r="FB74" i="12" s="1"/>
  <c r="CR93" i="12"/>
  <c r="CS93" i="12" s="1"/>
  <c r="CR70" i="12"/>
  <c r="CS70" i="12" s="1"/>
  <c r="CR153" i="13"/>
  <c r="CS153" i="13" s="1"/>
  <c r="CR40" i="14"/>
  <c r="DY92" i="12"/>
  <c r="ED92" i="12" s="1"/>
  <c r="EQ107" i="12"/>
  <c r="FA107" i="12" s="1"/>
  <c r="EQ106" i="12"/>
  <c r="FA106" i="12" s="1"/>
  <c r="CR62" i="12"/>
  <c r="CR103" i="13"/>
  <c r="CR151" i="13"/>
  <c r="CS151" i="13" s="1"/>
  <c r="DZ94" i="12"/>
  <c r="DY108" i="13"/>
  <c r="ED108" i="13" s="1"/>
  <c r="CS65" i="12"/>
  <c r="J65" i="12"/>
  <c r="J79" i="14"/>
  <c r="CS79" i="14"/>
  <c r="DZ85" i="14"/>
  <c r="EE85" i="14" s="1"/>
  <c r="DY71" i="12"/>
  <c r="ED70" i="12" s="1"/>
  <c r="DZ69" i="12"/>
  <c r="EE68" i="12" s="1"/>
  <c r="CR74" i="12"/>
  <c r="CR91" i="12"/>
  <c r="CR106" i="13"/>
  <c r="DY98" i="12"/>
  <c r="ED97" i="12" s="1"/>
  <c r="EQ103" i="12" s="1"/>
  <c r="FA103" i="12" s="1"/>
  <c r="DY83" i="14"/>
  <c r="ED83" i="14" s="1"/>
  <c r="ER133" i="13"/>
  <c r="FJ133" i="13" s="1"/>
  <c r="ER134" i="13"/>
  <c r="FJ134" i="13" s="1"/>
  <c r="DZ114" i="13"/>
  <c r="EE114" i="13" s="1"/>
  <c r="EQ79" i="12"/>
  <c r="FA79" i="12" s="1"/>
  <c r="EQ78" i="12"/>
  <c r="FA78" i="12" s="1"/>
  <c r="DY147" i="13"/>
  <c r="ED147" i="13" s="1"/>
  <c r="CR72" i="12"/>
  <c r="CS72" i="12" s="1"/>
  <c r="CR60" i="15"/>
  <c r="DZ104" i="13"/>
  <c r="EE104" i="13" s="1"/>
  <c r="DY41" i="14"/>
  <c r="ED41" i="14" s="1"/>
  <c r="ER180" i="13"/>
  <c r="ER179" i="13"/>
  <c r="EE90" i="12"/>
  <c r="ER92" i="12" s="1"/>
  <c r="FB92" i="12" s="1"/>
  <c r="EQ69" i="12"/>
  <c r="FA69" i="12" s="1"/>
  <c r="EQ70" i="12"/>
  <c r="FA70" i="12" s="1"/>
  <c r="EQ68" i="12"/>
  <c r="FA68" i="12" s="1"/>
  <c r="EQ150" i="13"/>
  <c r="FI150" i="13" s="1"/>
  <c r="EQ148" i="13"/>
  <c r="FI148" i="13" s="1"/>
  <c r="EQ149" i="13"/>
  <c r="FI149" i="13" s="1"/>
  <c r="EQ152" i="13"/>
  <c r="FI152" i="13" s="1"/>
  <c r="EQ146" i="13"/>
  <c r="FI146" i="13" s="1"/>
  <c r="EQ147" i="13"/>
  <c r="FI147" i="13" s="1"/>
  <c r="EQ151" i="13"/>
  <c r="FI151" i="13" s="1"/>
  <c r="CR89" i="12"/>
  <c r="CR97" i="12"/>
  <c r="CS97" i="12" s="1"/>
  <c r="CR157" i="13"/>
  <c r="CS157" i="13" s="1"/>
  <c r="DY62" i="12"/>
  <c r="ED62" i="12" s="1"/>
  <c r="DY91" i="12"/>
  <c r="ED91" i="12" s="1"/>
  <c r="EQ93" i="12" s="1"/>
  <c r="FA93" i="12" s="1"/>
  <c r="DZ97" i="12"/>
  <c r="EE96" i="12" s="1"/>
  <c r="CR68" i="12"/>
  <c r="CS68" i="12" s="1"/>
  <c r="J107" i="13"/>
  <c r="CS107" i="13"/>
  <c r="CR110" i="13"/>
  <c r="CS110" i="13" s="1"/>
  <c r="CR108" i="13"/>
  <c r="CS108" i="13" s="1"/>
  <c r="CR82" i="14"/>
  <c r="EE89" i="12"/>
  <c r="ER91" i="12" s="1"/>
  <c r="FB91" i="12" s="1"/>
  <c r="DZ40" i="14"/>
  <c r="EE40" i="14" s="1"/>
  <c r="ER62" i="12"/>
  <c r="FB62" i="12" s="1"/>
  <c r="ER63" i="12"/>
  <c r="FB63" i="12" s="1"/>
  <c r="DZ91" i="12"/>
  <c r="EE91" i="12" s="1"/>
  <c r="ER93" i="12" s="1"/>
  <c r="FB93" i="12" s="1"/>
  <c r="CR66" i="12"/>
  <c r="CR36" i="14"/>
  <c r="X9" i="7"/>
  <c r="DY97" i="12"/>
  <c r="ED96" i="12" s="1"/>
  <c r="ER116" i="13"/>
  <c r="FJ116" i="13" s="1"/>
  <c r="ER117" i="13"/>
  <c r="FJ117" i="13" s="1"/>
  <c r="ER119" i="13"/>
  <c r="FJ119" i="13" s="1"/>
  <c r="ER118" i="13"/>
  <c r="FJ118" i="13" s="1"/>
  <c r="DY152" i="13"/>
  <c r="ED152" i="13" s="1"/>
  <c r="CR90" i="12"/>
  <c r="CR73" i="12"/>
  <c r="CS73" i="12" s="1"/>
  <c r="CR104" i="13"/>
  <c r="CR112" i="13"/>
  <c r="CS112" i="13" s="1"/>
  <c r="CR81" i="14"/>
  <c r="DY64" i="12"/>
  <c r="ED64" i="12" s="1"/>
  <c r="EQ66" i="12" s="1"/>
  <c r="FA66" i="12" s="1"/>
  <c r="ER73" i="12"/>
  <c r="FB73" i="12" s="1"/>
  <c r="ER71" i="12"/>
  <c r="FB71" i="12" s="1"/>
  <c r="ER72" i="12"/>
  <c r="FB72" i="12" s="1"/>
  <c r="ER107" i="12"/>
  <c r="FB107" i="12" s="1"/>
  <c r="ER106" i="12"/>
  <c r="FB106" i="12" s="1"/>
  <c r="CR146" i="13"/>
  <c r="CR41" i="14"/>
  <c r="CS41" i="14" s="1"/>
  <c r="DZ79" i="14"/>
  <c r="EQ158" i="13"/>
  <c r="EQ111" i="13"/>
  <c r="FI111" i="13" s="1"/>
  <c r="EQ115" i="13"/>
  <c r="FI115" i="13" s="1"/>
  <c r="EQ110" i="13"/>
  <c r="FI110" i="13" s="1"/>
  <c r="EQ112" i="13"/>
  <c r="FI112" i="13" s="1"/>
  <c r="EQ114" i="13"/>
  <c r="FI114" i="13" s="1"/>
  <c r="EQ113" i="13"/>
  <c r="FI113" i="13" s="1"/>
  <c r="ER153" i="13"/>
  <c r="FJ153" i="13" s="1"/>
  <c r="ER154" i="13"/>
  <c r="FJ154" i="13" s="1"/>
  <c r="ER156" i="13"/>
  <c r="FJ156" i="13" s="1"/>
  <c r="ER155" i="13"/>
  <c r="FJ155" i="13" s="1"/>
  <c r="ER157" i="13"/>
  <c r="FJ157" i="13" s="1"/>
  <c r="EQ73" i="12"/>
  <c r="FA73" i="12" s="1"/>
  <c r="EQ72" i="12"/>
  <c r="FA72" i="12" s="1"/>
  <c r="EQ71" i="12"/>
  <c r="FA71" i="12" s="1"/>
  <c r="CR152" i="13"/>
  <c r="CS152" i="13" s="1"/>
  <c r="CR111" i="13"/>
  <c r="CS111" i="13" s="1"/>
  <c r="DY38" i="14"/>
  <c r="ED38" i="14" s="1"/>
  <c r="DZ81" i="14"/>
  <c r="EE81" i="14" s="1"/>
  <c r="DY95" i="12"/>
  <c r="ED94" i="12" s="1"/>
  <c r="ER150" i="13"/>
  <c r="FJ150" i="13" s="1"/>
  <c r="ER152" i="13"/>
  <c r="FJ152" i="13" s="1"/>
  <c r="ER151" i="13"/>
  <c r="FJ151" i="13" s="1"/>
  <c r="ER146" i="13"/>
  <c r="FJ146" i="13" s="1"/>
  <c r="ER147" i="13"/>
  <c r="FJ147" i="13" s="1"/>
  <c r="ER149" i="13"/>
  <c r="FJ149" i="13" s="1"/>
  <c r="ER148" i="13"/>
  <c r="FJ148" i="13" s="1"/>
  <c r="ED88" i="12"/>
  <c r="EQ90" i="12" s="1"/>
  <c r="FA90" i="12" s="1"/>
  <c r="DZ64" i="12"/>
  <c r="CR114" i="13"/>
  <c r="CS114" i="13" s="1"/>
  <c r="DY42" i="14"/>
  <c r="ED42" i="14" s="1"/>
  <c r="DZ83" i="14"/>
  <c r="EE83" i="14" s="1"/>
  <c r="ER81" i="12"/>
  <c r="FB81" i="12" s="1"/>
  <c r="ER80" i="12"/>
  <c r="FB80" i="12" s="1"/>
  <c r="DZ68" i="12"/>
  <c r="EE62" i="12" s="1"/>
  <c r="ER64" i="12" s="1"/>
  <c r="FB64" i="12" s="1"/>
  <c r="EE88" i="12"/>
  <c r="ER90" i="12" s="1"/>
  <c r="FB90" i="12" s="1"/>
  <c r="DZ17" i="15"/>
  <c r="DZ36" i="14"/>
  <c r="DZ110" i="13"/>
  <c r="EE110" i="13" s="1"/>
  <c r="CS64" i="12"/>
  <c r="J64" i="12"/>
  <c r="EE100" i="12"/>
  <c r="CR88" i="12"/>
  <c r="CR147" i="13"/>
  <c r="CR39" i="14"/>
  <c r="DY158" i="13"/>
  <c r="ED158" i="13" s="1"/>
  <c r="DZ72" i="12"/>
  <c r="EE71" i="12" s="1"/>
  <c r="ER77" i="12" s="1"/>
  <c r="FB77" i="12" s="1"/>
  <c r="ER165" i="13"/>
  <c r="ER166" i="13"/>
  <c r="ER167" i="13"/>
  <c r="ER164" i="13"/>
  <c r="CR99" i="12"/>
  <c r="CS99" i="12" s="1"/>
  <c r="CR96" i="12"/>
  <c r="CS96" i="12" s="1"/>
  <c r="CR71" i="12"/>
  <c r="CS71" i="12" s="1"/>
  <c r="CR158" i="13"/>
  <c r="CR105" i="13"/>
  <c r="CR83" i="14"/>
  <c r="DY105" i="13"/>
  <c r="ED105" i="13" s="1"/>
  <c r="ED116" i="13" s="1"/>
  <c r="DY114" i="13"/>
  <c r="ED114" i="13" s="1"/>
  <c r="DZ155" i="13"/>
  <c r="EE155" i="13" s="1"/>
  <c r="EQ127" i="13"/>
  <c r="FI127" i="13" s="1"/>
  <c r="EQ128" i="13"/>
  <c r="FI128" i="13" s="1"/>
  <c r="EQ125" i="13"/>
  <c r="FI125" i="13" s="1"/>
  <c r="EQ129" i="13"/>
  <c r="FI129" i="13" s="1"/>
  <c r="EQ126" i="13"/>
  <c r="FI126" i="13" s="1"/>
  <c r="DZ98" i="12"/>
  <c r="EE97" i="12" s="1"/>
  <c r="ER103" i="12" s="1"/>
  <c r="FB103" i="12" s="1"/>
  <c r="ED79" i="14"/>
  <c r="CR95" i="12"/>
  <c r="CS95" i="12" s="1"/>
  <c r="CR149" i="13"/>
  <c r="DY67" i="12"/>
  <c r="ED67" i="12" s="1"/>
  <c r="DZ111" i="13"/>
  <c r="EE111" i="13" s="1"/>
  <c r="ER132" i="13" s="1"/>
  <c r="FJ132" i="13" s="1"/>
  <c r="ER106" i="13"/>
  <c r="FJ106" i="13" s="1"/>
  <c r="ER104" i="13"/>
  <c r="FJ104" i="13" s="1"/>
  <c r="ER107" i="13"/>
  <c r="FJ107" i="13" s="1"/>
  <c r="ER109" i="13"/>
  <c r="FJ109" i="13" s="1"/>
  <c r="ER105" i="13"/>
  <c r="FJ105" i="13" s="1"/>
  <c r="ER103" i="13"/>
  <c r="ER108" i="13"/>
  <c r="FJ108" i="13" s="1"/>
  <c r="DY85" i="14"/>
  <c r="ED85" i="14" s="1"/>
  <c r="DY148" i="13"/>
  <c r="ED148" i="13" s="1"/>
  <c r="Z116" i="13"/>
  <c r="CR115" i="13"/>
  <c r="CR84" i="14"/>
  <c r="CS84" i="14" s="1"/>
  <c r="DZ150" i="13"/>
  <c r="EE150" i="13" s="1"/>
  <c r="ER163" i="13" s="1"/>
  <c r="DZ153" i="13"/>
  <c r="EE153" i="13" s="1"/>
  <c r="G270" i="8"/>
  <c r="P275" i="8"/>
  <c r="P300" i="8" s="1"/>
  <c r="G278" i="8"/>
  <c r="H278" i="8"/>
  <c r="H270" i="8"/>
  <c r="G280" i="8"/>
  <c r="O271" i="8"/>
  <c r="H284" i="8"/>
  <c r="Q271" i="8"/>
  <c r="P285" i="8"/>
  <c r="P306" i="8" s="1"/>
  <c r="H274" i="8"/>
  <c r="H288" i="8"/>
  <c r="E275" i="8"/>
  <c r="P283" i="8"/>
  <c r="P305" i="8" s="1"/>
  <c r="E271" i="8"/>
  <c r="O275" i="8"/>
  <c r="E279" i="8"/>
  <c r="Q283" i="8"/>
  <c r="G99" i="8"/>
  <c r="H99" i="8"/>
  <c r="D99" i="8"/>
  <c r="E99" i="8"/>
  <c r="F99" i="8"/>
  <c r="C99" i="8"/>
  <c r="E49" i="8"/>
  <c r="D49" i="8"/>
  <c r="H49" i="8"/>
  <c r="C49" i="8"/>
  <c r="G49" i="8"/>
  <c r="F49" i="8"/>
  <c r="F102" i="8"/>
  <c r="D102" i="8"/>
  <c r="H102" i="8"/>
  <c r="E102" i="8"/>
  <c r="C102" i="8"/>
  <c r="G102" i="8"/>
  <c r="C52" i="8"/>
  <c r="H52" i="8"/>
  <c r="G52" i="8"/>
  <c r="E52" i="8"/>
  <c r="D52" i="8"/>
  <c r="F52" i="8"/>
  <c r="H96" i="8"/>
  <c r="F96" i="8"/>
  <c r="D96" i="8"/>
  <c r="G96" i="8"/>
  <c r="E96" i="8"/>
  <c r="C96" i="8"/>
  <c r="F46" i="8"/>
  <c r="E46" i="8"/>
  <c r="D46" i="8"/>
  <c r="G46" i="8"/>
  <c r="H46" i="8"/>
  <c r="G100" i="8"/>
  <c r="E100" i="8"/>
  <c r="C100" i="8"/>
  <c r="H100" i="8"/>
  <c r="F100" i="8"/>
  <c r="D100" i="8"/>
  <c r="F50" i="8"/>
  <c r="D50" i="8"/>
  <c r="E50" i="8"/>
  <c r="C50" i="8"/>
  <c r="G50" i="8"/>
  <c r="H50" i="8"/>
  <c r="G107" i="8"/>
  <c r="E107" i="8"/>
  <c r="C107" i="8"/>
  <c r="F107" i="8"/>
  <c r="D107" i="8"/>
  <c r="H107" i="8"/>
  <c r="I107" i="8" s="1"/>
  <c r="E57" i="8"/>
  <c r="D57" i="8"/>
  <c r="C57" i="8"/>
  <c r="G57" i="8"/>
  <c r="H57" i="8"/>
  <c r="I57" i="8" s="1"/>
  <c r="F57" i="8"/>
  <c r="H106" i="8"/>
  <c r="G106" i="8"/>
  <c r="D106" i="8"/>
  <c r="E106" i="8"/>
  <c r="C106" i="8"/>
  <c r="F106" i="8"/>
  <c r="H56" i="8"/>
  <c r="G56" i="8"/>
  <c r="E56" i="8"/>
  <c r="C56" i="8"/>
  <c r="D56" i="8"/>
  <c r="F56" i="8"/>
  <c r="P271" i="8"/>
  <c r="P298" i="8" s="1"/>
  <c r="Q275" i="8"/>
  <c r="H280" i="8"/>
  <c r="E285" i="8"/>
  <c r="H103" i="8"/>
  <c r="F103" i="8"/>
  <c r="C103" i="8"/>
  <c r="G103" i="8"/>
  <c r="E103" i="8"/>
  <c r="D103" i="8"/>
  <c r="D53" i="8"/>
  <c r="C53" i="8"/>
  <c r="G53" i="8"/>
  <c r="E53" i="8"/>
  <c r="H53" i="8"/>
  <c r="F53" i="8"/>
  <c r="E98" i="8"/>
  <c r="H98" i="8"/>
  <c r="D98" i="8"/>
  <c r="F98" i="8"/>
  <c r="C98" i="8"/>
  <c r="G98" i="8"/>
  <c r="H48" i="8"/>
  <c r="F48" i="8"/>
  <c r="G48" i="8"/>
  <c r="E48" i="8"/>
  <c r="D48" i="8"/>
  <c r="C48" i="8"/>
  <c r="H105" i="8"/>
  <c r="F105" i="8"/>
  <c r="G105" i="8"/>
  <c r="E105" i="8"/>
  <c r="D105" i="8"/>
  <c r="C105" i="8"/>
  <c r="H55" i="8"/>
  <c r="F55" i="8"/>
  <c r="D55" i="8"/>
  <c r="G55" i="8"/>
  <c r="E55" i="8"/>
  <c r="C55" i="8"/>
  <c r="O269" i="8"/>
  <c r="H276" i="8"/>
  <c r="E281" i="8"/>
  <c r="H282" i="8"/>
  <c r="P269" i="8"/>
  <c r="P297" i="8" s="1"/>
  <c r="E273" i="8"/>
  <c r="P277" i="8"/>
  <c r="P301" i="8" s="1"/>
  <c r="P281" i="8"/>
  <c r="P304" i="8" s="1"/>
  <c r="Q285" i="8"/>
  <c r="H97" i="8"/>
  <c r="F97" i="8"/>
  <c r="G97" i="8"/>
  <c r="E97" i="8"/>
  <c r="D97" i="8"/>
  <c r="C97" i="8"/>
  <c r="D47" i="8"/>
  <c r="G47" i="8"/>
  <c r="H47" i="8"/>
  <c r="F47" i="8"/>
  <c r="E47" i="8"/>
  <c r="G101" i="8"/>
  <c r="E101" i="8"/>
  <c r="H101" i="8"/>
  <c r="F101" i="8"/>
  <c r="D101" i="8"/>
  <c r="C101" i="8"/>
  <c r="H51" i="8"/>
  <c r="F51" i="8"/>
  <c r="G51" i="8"/>
  <c r="E51" i="8"/>
  <c r="D51" i="8"/>
  <c r="C51" i="8"/>
  <c r="H104" i="8"/>
  <c r="F104" i="8"/>
  <c r="D104" i="8"/>
  <c r="G104" i="8"/>
  <c r="E104" i="8"/>
  <c r="C104" i="8"/>
  <c r="F54" i="8"/>
  <c r="D54" i="8"/>
  <c r="E54" i="8"/>
  <c r="C54" i="8"/>
  <c r="G54" i="8"/>
  <c r="H54" i="8"/>
  <c r="Q269" i="8"/>
  <c r="G274" i="8"/>
  <c r="Q277" i="8"/>
  <c r="Q281" i="8"/>
  <c r="E287" i="8"/>
  <c r="Q279" i="8"/>
  <c r="E270" i="8"/>
  <c r="Q270" i="8"/>
  <c r="E272" i="8"/>
  <c r="Q272" i="8"/>
  <c r="E274" i="8"/>
  <c r="Q274" i="8"/>
  <c r="Q299" i="8" s="1"/>
  <c r="E276" i="8"/>
  <c r="Q276" i="8"/>
  <c r="E278" i="8"/>
  <c r="Q278" i="8"/>
  <c r="E280" i="8"/>
  <c r="Q280" i="8"/>
  <c r="E282" i="8"/>
  <c r="Q282" i="8"/>
  <c r="E284" i="8"/>
  <c r="Q284" i="8"/>
  <c r="E286" i="8"/>
  <c r="Q286" i="8"/>
  <c r="E288" i="8"/>
  <c r="Q288" i="8"/>
  <c r="E269" i="8"/>
  <c r="E277" i="8"/>
  <c r="Q287" i="8"/>
  <c r="R270" i="8"/>
  <c r="F272" i="8"/>
  <c r="R272" i="8"/>
  <c r="R274" i="8"/>
  <c r="F276" i="8"/>
  <c r="R276" i="8"/>
  <c r="R278" i="8"/>
  <c r="R280" i="8"/>
  <c r="F282" i="8"/>
  <c r="R282" i="8"/>
  <c r="F284" i="8"/>
  <c r="R284" i="8"/>
  <c r="F286" i="8"/>
  <c r="R286" i="8"/>
  <c r="F288" i="8"/>
  <c r="R288" i="8"/>
  <c r="G272" i="8"/>
  <c r="O273" i="8"/>
  <c r="O277" i="8"/>
  <c r="O279" i="8"/>
  <c r="O281" i="8"/>
  <c r="O283" i="8"/>
  <c r="O285" i="8"/>
  <c r="G286" i="8"/>
  <c r="O287" i="8"/>
  <c r="P273" i="8"/>
  <c r="P299" i="8" s="1"/>
  <c r="P279" i="8"/>
  <c r="P303" i="8" s="1"/>
  <c r="P287" i="8"/>
  <c r="P307" i="8" s="1"/>
  <c r="F269" i="8"/>
  <c r="F297" i="8" s="1"/>
  <c r="F271" i="8"/>
  <c r="F273" i="8"/>
  <c r="F299" i="8" s="1"/>
  <c r="R273" i="8"/>
  <c r="F275" i="8"/>
  <c r="F277" i="8"/>
  <c r="F301" i="8" s="1"/>
  <c r="F279" i="8"/>
  <c r="F303" i="8" s="1"/>
  <c r="F281" i="8"/>
  <c r="F283" i="8"/>
  <c r="F285" i="8"/>
  <c r="F287" i="8"/>
  <c r="F307" i="8" s="1"/>
  <c r="G269" i="8"/>
  <c r="O270" i="8"/>
  <c r="G271" i="8"/>
  <c r="O272" i="8"/>
  <c r="O298" i="8" s="1"/>
  <c r="G273" i="8"/>
  <c r="O274" i="8"/>
  <c r="G275" i="8"/>
  <c r="G300" i="8" s="1"/>
  <c r="O276" i="8"/>
  <c r="G277" i="8"/>
  <c r="G301" i="8" s="1"/>
  <c r="O278" i="8"/>
  <c r="G279" i="8"/>
  <c r="G303" i="8" s="1"/>
  <c r="O280" i="8"/>
  <c r="G281" i="8"/>
  <c r="G304" i="8" s="1"/>
  <c r="O282" i="8"/>
  <c r="G283" i="8"/>
  <c r="G305" i="8" s="1"/>
  <c r="O284" i="8"/>
  <c r="G285" i="8"/>
  <c r="O286" i="8"/>
  <c r="G287" i="8"/>
  <c r="G307" i="8" s="1"/>
  <c r="O288" i="8"/>
  <c r="E283" i="8"/>
  <c r="G20" i="5"/>
  <c r="F20" i="5"/>
  <c r="G19" i="5"/>
  <c r="F19" i="5"/>
  <c r="G18" i="5"/>
  <c r="F18" i="5"/>
  <c r="G17" i="5"/>
  <c r="F17" i="5"/>
  <c r="S40" i="1"/>
  <c r="R40" i="1"/>
  <c r="Q40" i="1"/>
  <c r="P40" i="1"/>
  <c r="O40" i="1"/>
  <c r="N40" i="1"/>
  <c r="S39" i="1"/>
  <c r="R39" i="1"/>
  <c r="Q39" i="1"/>
  <c r="P39" i="1"/>
  <c r="O39" i="1"/>
  <c r="N39" i="1"/>
  <c r="S38" i="1"/>
  <c r="R38" i="1"/>
  <c r="Q38" i="1"/>
  <c r="P38" i="1"/>
  <c r="O38" i="1"/>
  <c r="N38" i="1"/>
  <c r="S37" i="1"/>
  <c r="R37" i="1"/>
  <c r="Q37" i="1"/>
  <c r="P37" i="1"/>
  <c r="O37" i="1"/>
  <c r="N37" i="1"/>
  <c r="S36" i="1"/>
  <c r="R36" i="1"/>
  <c r="Q36" i="1"/>
  <c r="P36" i="1"/>
  <c r="O36" i="1"/>
  <c r="N36" i="1"/>
  <c r="S35" i="1"/>
  <c r="R35" i="1"/>
  <c r="Q35" i="1"/>
  <c r="P35" i="1"/>
  <c r="O35" i="1"/>
  <c r="N35" i="1"/>
  <c r="S34" i="1"/>
  <c r="R34" i="1"/>
  <c r="Q34" i="1"/>
  <c r="P34" i="1"/>
  <c r="O34" i="1"/>
  <c r="N34" i="1"/>
  <c r="S33" i="1"/>
  <c r="R33" i="1"/>
  <c r="Q33" i="1"/>
  <c r="P33" i="1"/>
  <c r="O33" i="1"/>
  <c r="N33" i="1"/>
  <c r="S32" i="1"/>
  <c r="R32" i="1"/>
  <c r="Q32" i="1"/>
  <c r="P32" i="1"/>
  <c r="O32" i="1"/>
  <c r="N32" i="1"/>
  <c r="S31" i="1"/>
  <c r="R31" i="1"/>
  <c r="Q31" i="1"/>
  <c r="P31" i="1"/>
  <c r="O31" i="1"/>
  <c r="N31" i="1"/>
  <c r="S30" i="1"/>
  <c r="R30" i="1"/>
  <c r="Q30" i="1"/>
  <c r="P30" i="1"/>
  <c r="O30" i="1"/>
  <c r="N30" i="1"/>
  <c r="S29" i="1"/>
  <c r="R29" i="1"/>
  <c r="Q29" i="1"/>
  <c r="P29" i="1"/>
  <c r="O29" i="1"/>
  <c r="N29" i="1"/>
  <c r="S28" i="1"/>
  <c r="R28" i="1"/>
  <c r="Q28" i="1"/>
  <c r="P28" i="1"/>
  <c r="O28" i="1"/>
  <c r="N28" i="1"/>
  <c r="J92" i="4"/>
  <c r="V90" i="4"/>
  <c r="P89" i="4"/>
  <c r="M88" i="4"/>
  <c r="J88" i="4"/>
  <c r="K87" i="4"/>
  <c r="V86" i="4"/>
  <c r="N86" i="4"/>
  <c r="L86" i="4"/>
  <c r="K86" i="4"/>
  <c r="W85" i="4"/>
  <c r="P85" i="4"/>
  <c r="K85" i="4"/>
  <c r="W84" i="4"/>
  <c r="N84" i="4"/>
  <c r="M84" i="4"/>
  <c r="L84" i="4"/>
  <c r="K84" i="4"/>
  <c r="J84" i="4"/>
  <c r="W83" i="4"/>
  <c r="T83" i="4"/>
  <c r="M83" i="4"/>
  <c r="L83" i="4"/>
  <c r="K83" i="4"/>
  <c r="W82" i="4"/>
  <c r="V82" i="4"/>
  <c r="N82" i="4"/>
  <c r="L82" i="4"/>
  <c r="K82" i="4"/>
  <c r="W81" i="4"/>
  <c r="T81" i="4"/>
  <c r="P81" i="4"/>
  <c r="K81" i="4"/>
  <c r="W74" i="4"/>
  <c r="N74" i="4"/>
  <c r="M74" i="4"/>
  <c r="L74" i="4"/>
  <c r="K74" i="4"/>
  <c r="J74" i="4"/>
  <c r="W73" i="4"/>
  <c r="T73" i="4"/>
  <c r="M73" i="4"/>
  <c r="L73" i="4"/>
  <c r="K73" i="4"/>
  <c r="W72" i="4"/>
  <c r="V72" i="4"/>
  <c r="N72" i="4"/>
  <c r="L72" i="4"/>
  <c r="K72" i="4"/>
  <c r="W71" i="4"/>
  <c r="T71" i="4"/>
  <c r="P71" i="4"/>
  <c r="K71" i="4"/>
  <c r="W70" i="4"/>
  <c r="N70" i="4"/>
  <c r="M70" i="4"/>
  <c r="L70" i="4"/>
  <c r="K70" i="4"/>
  <c r="J70" i="4"/>
  <c r="W69" i="4"/>
  <c r="T69" i="4"/>
  <c r="M69" i="4"/>
  <c r="L69" i="4"/>
  <c r="K69" i="4"/>
  <c r="I69" i="4"/>
  <c r="W68" i="4"/>
  <c r="V68" i="4"/>
  <c r="N68" i="4"/>
  <c r="L68" i="4"/>
  <c r="K68" i="4"/>
  <c r="I68" i="4"/>
  <c r="W67" i="4"/>
  <c r="W66" i="4"/>
  <c r="V66" i="4"/>
  <c r="W65" i="4"/>
  <c r="W64" i="4"/>
  <c r="V64" i="4"/>
  <c r="Q63" i="4"/>
  <c r="K67" i="4"/>
  <c r="K66" i="4"/>
  <c r="K65" i="4"/>
  <c r="K64" i="4"/>
  <c r="J64" i="4"/>
  <c r="K63" i="4"/>
  <c r="T67" i="4"/>
  <c r="M67" i="4"/>
  <c r="I67" i="4"/>
  <c r="U66" i="4"/>
  <c r="L66" i="4"/>
  <c r="N66" i="4"/>
  <c r="M66" i="4"/>
  <c r="I66" i="4"/>
  <c r="U63" i="4"/>
  <c r="U64" i="4"/>
  <c r="M65" i="4"/>
  <c r="S64" i="4"/>
  <c r="L64" i="4"/>
  <c r="M64" i="4"/>
  <c r="AE26" i="4"/>
  <c r="AD26" i="4"/>
  <c r="AC26" i="4"/>
  <c r="AB26" i="4"/>
  <c r="AA26" i="4"/>
  <c r="Z26" i="4"/>
  <c r="Y26" i="4"/>
  <c r="X26" i="4"/>
  <c r="W26" i="4"/>
  <c r="V26" i="4"/>
  <c r="U26" i="4"/>
  <c r="T26" i="4"/>
  <c r="S26" i="4"/>
  <c r="R26" i="4"/>
  <c r="Q26" i="4"/>
  <c r="P26" i="4"/>
  <c r="AE25" i="4"/>
  <c r="AD25" i="4"/>
  <c r="AC25" i="4"/>
  <c r="AB25" i="4"/>
  <c r="AA25" i="4"/>
  <c r="Z25" i="4"/>
  <c r="Y25" i="4"/>
  <c r="X25" i="4"/>
  <c r="W25" i="4"/>
  <c r="V25" i="4"/>
  <c r="U25" i="4"/>
  <c r="T25" i="4"/>
  <c r="S25" i="4"/>
  <c r="R25" i="4"/>
  <c r="Q25" i="4"/>
  <c r="P25" i="4"/>
  <c r="AE24" i="4"/>
  <c r="AD24" i="4"/>
  <c r="AC24" i="4"/>
  <c r="AB24" i="4"/>
  <c r="AA24" i="4"/>
  <c r="Z24" i="4"/>
  <c r="Y24" i="4"/>
  <c r="X24" i="4"/>
  <c r="W24" i="4"/>
  <c r="V24" i="4"/>
  <c r="U24" i="4"/>
  <c r="W63" i="4" s="1"/>
  <c r="T24" i="4"/>
  <c r="V63" i="4" s="1"/>
  <c r="S24" i="4"/>
  <c r="U90" i="4" s="1"/>
  <c r="R24" i="4"/>
  <c r="T63" i="4" s="1"/>
  <c r="Q24" i="4"/>
  <c r="S65" i="4" s="1"/>
  <c r="P24" i="4"/>
  <c r="R63" i="4" s="1"/>
  <c r="AE23" i="4"/>
  <c r="AD23" i="4"/>
  <c r="AC23" i="4"/>
  <c r="AB23" i="4"/>
  <c r="AA23" i="4"/>
  <c r="Z23" i="4"/>
  <c r="Y23" i="4"/>
  <c r="X23" i="4"/>
  <c r="W23" i="4"/>
  <c r="V23" i="4"/>
  <c r="U23" i="4"/>
  <c r="Q72" i="4" s="1"/>
  <c r="T23" i="4"/>
  <c r="P65" i="4" s="1"/>
  <c r="S23" i="4"/>
  <c r="O89" i="4" s="1"/>
  <c r="R23" i="4"/>
  <c r="N63" i="4" s="1"/>
  <c r="Q23" i="4"/>
  <c r="M89" i="4" s="1"/>
  <c r="P23" i="4"/>
  <c r="L65" i="4" s="1"/>
  <c r="AE22" i="4"/>
  <c r="AD22" i="4"/>
  <c r="AC22" i="4"/>
  <c r="AB22" i="4"/>
  <c r="AA22" i="4"/>
  <c r="Z22" i="4"/>
  <c r="Y22" i="4"/>
  <c r="X22" i="4"/>
  <c r="W22" i="4"/>
  <c r="V22" i="4"/>
  <c r="U22" i="4"/>
  <c r="K89" i="4" s="1"/>
  <c r="T22" i="4"/>
  <c r="J89" i="4" s="1"/>
  <c r="S22" i="4"/>
  <c r="I65" i="4" s="1"/>
  <c r="R22" i="4"/>
  <c r="H63" i="4" s="1"/>
  <c r="Q22" i="4"/>
  <c r="G63" i="4" s="1"/>
  <c r="P22" i="4"/>
  <c r="F63" i="4" s="1"/>
  <c r="S63" i="4"/>
  <c r="M63" i="4"/>
  <c r="L63" i="4"/>
  <c r="AN108" i="2"/>
  <c r="AM108" i="2"/>
  <c r="AL108" i="2"/>
  <c r="AK108" i="2"/>
  <c r="AG63" i="4" l="1"/>
  <c r="AQ63" i="4" s="1"/>
  <c r="U67" i="4"/>
  <c r="Q71" i="4"/>
  <c r="Q81" i="4"/>
  <c r="Q85" i="4"/>
  <c r="W86" i="4"/>
  <c r="K88" i="4"/>
  <c r="Q89" i="4"/>
  <c r="W90" i="4"/>
  <c r="K92" i="4"/>
  <c r="ER110" i="13"/>
  <c r="FJ110" i="13" s="1"/>
  <c r="ER113" i="13"/>
  <c r="FJ113" i="13" s="1"/>
  <c r="ER112" i="13"/>
  <c r="FJ112" i="13" s="1"/>
  <c r="ER114" i="13"/>
  <c r="FJ114" i="13" s="1"/>
  <c r="ER111" i="13"/>
  <c r="FJ111" i="13" s="1"/>
  <c r="ER115" i="13"/>
  <c r="FJ115" i="13" s="1"/>
  <c r="ER158" i="13"/>
  <c r="J103" i="13"/>
  <c r="CS103" i="13"/>
  <c r="G66" i="4"/>
  <c r="J63" i="4"/>
  <c r="V65" i="4"/>
  <c r="F69" i="4"/>
  <c r="R71" i="4"/>
  <c r="AG71" i="4" s="1"/>
  <c r="AQ71" i="4" s="1"/>
  <c r="F73" i="4"/>
  <c r="AE73" i="4" s="1"/>
  <c r="AO73" i="4" s="1"/>
  <c r="R81" i="4"/>
  <c r="AG81" i="4" s="1"/>
  <c r="AQ81" i="4" s="1"/>
  <c r="F83" i="4"/>
  <c r="AE83" i="4" s="1"/>
  <c r="AO83" i="4" s="1"/>
  <c r="R85" i="4"/>
  <c r="AG85" i="4" s="1"/>
  <c r="AQ85" i="4" s="1"/>
  <c r="F87" i="4"/>
  <c r="AE87" i="4" s="1"/>
  <c r="AO87" i="4" s="1"/>
  <c r="L88" i="4"/>
  <c r="AF88" i="4" s="1"/>
  <c r="AP88" i="4" s="1"/>
  <c r="R89" i="4"/>
  <c r="F91" i="4"/>
  <c r="L92" i="4"/>
  <c r="ER174" i="13"/>
  <c r="ER173" i="13"/>
  <c r="CS60" i="15"/>
  <c r="J60" i="15"/>
  <c r="J62" i="12"/>
  <c r="CS62" i="12"/>
  <c r="FB88" i="12"/>
  <c r="H66" i="4"/>
  <c r="G69" i="4"/>
  <c r="S71" i="4"/>
  <c r="G73" i="4"/>
  <c r="S81" i="4"/>
  <c r="G83" i="4"/>
  <c r="S85" i="4"/>
  <c r="G87" i="4"/>
  <c r="S89" i="4"/>
  <c r="G91" i="4"/>
  <c r="M92" i="4"/>
  <c r="ER131" i="13"/>
  <c r="FJ131" i="13" s="1"/>
  <c r="ER130" i="13"/>
  <c r="FJ130" i="13" s="1"/>
  <c r="ER99" i="12"/>
  <c r="FB99" i="12" s="1"/>
  <c r="ER98" i="12"/>
  <c r="FB98" i="12" s="1"/>
  <c r="ER97" i="12"/>
  <c r="FB97" i="12" s="1"/>
  <c r="H69" i="4"/>
  <c r="H73" i="4"/>
  <c r="H83" i="4"/>
  <c r="T85" i="4"/>
  <c r="H87" i="4"/>
  <c r="N88" i="4"/>
  <c r="T89" i="4"/>
  <c r="H91" i="4"/>
  <c r="N92" i="4"/>
  <c r="EE36" i="14"/>
  <c r="DZ43" i="14"/>
  <c r="EE43" i="14" s="1"/>
  <c r="J81" i="14"/>
  <c r="CS81" i="14"/>
  <c r="EQ156" i="13"/>
  <c r="FI156" i="13" s="1"/>
  <c r="EQ153" i="13"/>
  <c r="FI153" i="13" s="1"/>
  <c r="EQ155" i="13"/>
  <c r="FI155" i="13" s="1"/>
  <c r="EQ154" i="13"/>
  <c r="FI154" i="13" s="1"/>
  <c r="EQ157" i="13"/>
  <c r="FI157" i="13" s="1"/>
  <c r="ER160" i="13"/>
  <c r="ER161" i="13"/>
  <c r="ER162" i="13"/>
  <c r="FJ162" i="13" s="1"/>
  <c r="EQ62" i="12"/>
  <c r="EQ63" i="12"/>
  <c r="FA63" i="12" s="1"/>
  <c r="F66" i="4"/>
  <c r="O70" i="4"/>
  <c r="AF70" i="4" s="1"/>
  <c r="AP70" i="4" s="1"/>
  <c r="U71" i="4"/>
  <c r="I73" i="4"/>
  <c r="O74" i="4"/>
  <c r="AF74" i="4" s="1"/>
  <c r="AP74" i="4" s="1"/>
  <c r="U81" i="4"/>
  <c r="I83" i="4"/>
  <c r="O84" i="4"/>
  <c r="AF84" i="4" s="1"/>
  <c r="AP84" i="4" s="1"/>
  <c r="U85" i="4"/>
  <c r="I87" i="4"/>
  <c r="O88" i="4"/>
  <c r="U89" i="4"/>
  <c r="I91" i="4"/>
  <c r="O92" i="4"/>
  <c r="J115" i="13"/>
  <c r="CS115" i="13"/>
  <c r="ER177" i="13"/>
  <c r="ER176" i="13"/>
  <c r="EE17" i="15"/>
  <c r="DZ24" i="15"/>
  <c r="EE24" i="15" s="1"/>
  <c r="ER102" i="12"/>
  <c r="FB102" i="12" s="1"/>
  <c r="ER101" i="12"/>
  <c r="FB101" i="12" s="1"/>
  <c r="ER100" i="12"/>
  <c r="FB100" i="12" s="1"/>
  <c r="EQ88" i="12"/>
  <c r="EQ89" i="12"/>
  <c r="FA89" i="12" s="1"/>
  <c r="CS17" i="15"/>
  <c r="J17" i="15"/>
  <c r="J65" i="4"/>
  <c r="V67" i="4"/>
  <c r="J69" i="4"/>
  <c r="P70" i="4"/>
  <c r="V71" i="4"/>
  <c r="J73" i="4"/>
  <c r="P74" i="4"/>
  <c r="V81" i="4"/>
  <c r="J83" i="4"/>
  <c r="P84" i="4"/>
  <c r="V85" i="4"/>
  <c r="J87" i="4"/>
  <c r="P88" i="4"/>
  <c r="V89" i="4"/>
  <c r="J91" i="4"/>
  <c r="P92" i="4"/>
  <c r="EQ137" i="13"/>
  <c r="EQ136" i="13"/>
  <c r="FI136" i="13" s="1"/>
  <c r="J104" i="13"/>
  <c r="CS104" i="13"/>
  <c r="J37" i="14"/>
  <c r="CS37" i="14"/>
  <c r="EE63" i="12"/>
  <c r="ER65" i="12" s="1"/>
  <c r="FB65" i="12" s="1"/>
  <c r="Q70" i="4"/>
  <c r="Q74" i="4"/>
  <c r="Q84" i="4"/>
  <c r="Q88" i="4"/>
  <c r="W89" i="4"/>
  <c r="K91" i="4"/>
  <c r="Q92" i="4"/>
  <c r="EQ162" i="13"/>
  <c r="FI162" i="13" s="1"/>
  <c r="EQ161" i="13"/>
  <c r="EQ160" i="13"/>
  <c r="EQ116" i="13"/>
  <c r="FI116" i="13" s="1"/>
  <c r="EQ117" i="13"/>
  <c r="FI117" i="13" s="1"/>
  <c r="EQ119" i="13"/>
  <c r="FI119" i="13" s="1"/>
  <c r="EQ118" i="13"/>
  <c r="FI118" i="13" s="1"/>
  <c r="EQ64" i="12"/>
  <c r="FA64" i="12" s="1"/>
  <c r="ER137" i="13"/>
  <c r="ER136" i="13"/>
  <c r="FJ136" i="13" s="1"/>
  <c r="CS40" i="14"/>
  <c r="J40" i="14"/>
  <c r="O66" i="4"/>
  <c r="AF66" i="4" s="1"/>
  <c r="AP66" i="4" s="1"/>
  <c r="J66" i="4"/>
  <c r="F68" i="4"/>
  <c r="AE68" i="4" s="1"/>
  <c r="AO68" i="4" s="1"/>
  <c r="R70" i="4"/>
  <c r="AG70" i="4" s="1"/>
  <c r="AQ70" i="4" s="1"/>
  <c r="F72" i="4"/>
  <c r="R74" i="4"/>
  <c r="F82" i="4"/>
  <c r="R84" i="4"/>
  <c r="F86" i="4"/>
  <c r="L87" i="4"/>
  <c r="R88" i="4"/>
  <c r="F90" i="4"/>
  <c r="L91" i="4"/>
  <c r="R92" i="4"/>
  <c r="J83" i="14"/>
  <c r="CS83" i="14"/>
  <c r="J90" i="12"/>
  <c r="CS90" i="12"/>
  <c r="G68" i="4"/>
  <c r="S70" i="4"/>
  <c r="G72" i="4"/>
  <c r="S74" i="4"/>
  <c r="G82" i="4"/>
  <c r="S84" i="4"/>
  <c r="G86" i="4"/>
  <c r="M87" i="4"/>
  <c r="S88" i="4"/>
  <c r="G90" i="4"/>
  <c r="M91" i="4"/>
  <c r="S92" i="4"/>
  <c r="J105" i="13"/>
  <c r="CS105" i="13"/>
  <c r="EQ172" i="13"/>
  <c r="EQ171" i="13"/>
  <c r="EQ170" i="13"/>
  <c r="EQ168" i="13"/>
  <c r="EQ169" i="13"/>
  <c r="R66" i="4"/>
  <c r="AG66" i="4" s="1"/>
  <c r="AQ66" i="4" s="1"/>
  <c r="J67" i="4"/>
  <c r="H68" i="4"/>
  <c r="N69" i="4"/>
  <c r="AF69" i="4" s="1"/>
  <c r="AP69" i="4" s="1"/>
  <c r="T70" i="4"/>
  <c r="H72" i="4"/>
  <c r="N73" i="4"/>
  <c r="T74" i="4"/>
  <c r="H82" i="4"/>
  <c r="N83" i="4"/>
  <c r="AF83" i="4" s="1"/>
  <c r="AP83" i="4" s="1"/>
  <c r="T84" i="4"/>
  <c r="H86" i="4"/>
  <c r="N87" i="4"/>
  <c r="T88" i="4"/>
  <c r="H90" i="4"/>
  <c r="N91" i="4"/>
  <c r="T92" i="4"/>
  <c r="J158" i="13"/>
  <c r="CS158" i="13"/>
  <c r="J89" i="12"/>
  <c r="CS89" i="12"/>
  <c r="J92" i="12"/>
  <c r="CS92" i="12"/>
  <c r="FB60" i="15"/>
  <c r="C2" i="58"/>
  <c r="O69" i="4"/>
  <c r="O73" i="4"/>
  <c r="I82" i="4"/>
  <c r="O83" i="4"/>
  <c r="U84" i="4"/>
  <c r="I86" i="4"/>
  <c r="U88" i="4"/>
  <c r="I90" i="4"/>
  <c r="O91" i="4"/>
  <c r="U92" i="4"/>
  <c r="S66" i="4"/>
  <c r="U70" i="4"/>
  <c r="I72" i="4"/>
  <c r="U74" i="4"/>
  <c r="O87" i="4"/>
  <c r="T66" i="4"/>
  <c r="P63" i="4"/>
  <c r="J68" i="4"/>
  <c r="P69" i="4"/>
  <c r="V70" i="4"/>
  <c r="J72" i="4"/>
  <c r="P73" i="4"/>
  <c r="V74" i="4"/>
  <c r="J82" i="4"/>
  <c r="P83" i="4"/>
  <c r="V84" i="4"/>
  <c r="J86" i="4"/>
  <c r="P87" i="4"/>
  <c r="V88" i="4"/>
  <c r="J90" i="4"/>
  <c r="P91" i="4"/>
  <c r="V92" i="4"/>
  <c r="J106" i="13"/>
  <c r="CS106" i="13"/>
  <c r="Q69" i="4"/>
  <c r="Q73" i="4"/>
  <c r="Q83" i="4"/>
  <c r="Q87" i="4"/>
  <c r="W88" i="4"/>
  <c r="K90" i="4"/>
  <c r="Q91" i="4"/>
  <c r="W92" i="4"/>
  <c r="EE64" i="12"/>
  <c r="ER66" i="12" s="1"/>
  <c r="CS91" i="12"/>
  <c r="J91" i="12"/>
  <c r="EQ134" i="13"/>
  <c r="FI134" i="13" s="1"/>
  <c r="EQ133" i="13"/>
  <c r="FI133" i="13" s="1"/>
  <c r="F67" i="4"/>
  <c r="P64" i="4"/>
  <c r="R69" i="4"/>
  <c r="F71" i="4"/>
  <c r="AE71" i="4" s="1"/>
  <c r="AO71" i="4" s="1"/>
  <c r="R73" i="4"/>
  <c r="F81" i="4"/>
  <c r="R83" i="4"/>
  <c r="F85" i="4"/>
  <c r="R87" i="4"/>
  <c r="AG87" i="4" s="1"/>
  <c r="AQ87" i="4" s="1"/>
  <c r="F89" i="4"/>
  <c r="L90" i="4"/>
  <c r="R91" i="4"/>
  <c r="EQ100" i="12"/>
  <c r="FA100" i="12" s="1"/>
  <c r="EQ102" i="12"/>
  <c r="FA102" i="12" s="1"/>
  <c r="EQ101" i="12"/>
  <c r="FA101" i="12" s="1"/>
  <c r="J74" i="12"/>
  <c r="CS74" i="12"/>
  <c r="ED74" i="12"/>
  <c r="EQ180" i="13"/>
  <c r="EQ179" i="13"/>
  <c r="R64" i="4"/>
  <c r="G67" i="4"/>
  <c r="Q64" i="4"/>
  <c r="M68" i="4"/>
  <c r="AF68" i="4" s="1"/>
  <c r="AP68" i="4" s="1"/>
  <c r="S69" i="4"/>
  <c r="G71" i="4"/>
  <c r="M72" i="4"/>
  <c r="AF72" i="4" s="1"/>
  <c r="AP72" i="4" s="1"/>
  <c r="S73" i="4"/>
  <c r="G81" i="4"/>
  <c r="M82" i="4"/>
  <c r="AF82" i="4" s="1"/>
  <c r="AP82" i="4" s="1"/>
  <c r="S83" i="4"/>
  <c r="G85" i="4"/>
  <c r="M86" i="4"/>
  <c r="AF86" i="4" s="1"/>
  <c r="AP86" i="4" s="1"/>
  <c r="S87" i="4"/>
  <c r="G89" i="4"/>
  <c r="M90" i="4"/>
  <c r="S91" i="4"/>
  <c r="ER69" i="12"/>
  <c r="FB69" i="12" s="1"/>
  <c r="ER70" i="12"/>
  <c r="FB70" i="12" s="1"/>
  <c r="ER68" i="12"/>
  <c r="FB68" i="12" s="1"/>
  <c r="ER122" i="13"/>
  <c r="FJ122" i="13" s="1"/>
  <c r="ER121" i="13"/>
  <c r="FJ121" i="13" s="1"/>
  <c r="ER123" i="13"/>
  <c r="FJ123" i="13" s="1"/>
  <c r="ER124" i="13"/>
  <c r="FJ124" i="13" s="1"/>
  <c r="DY67" i="15"/>
  <c r="ED67" i="15" s="1"/>
  <c r="EQ60" i="15" s="1"/>
  <c r="ED60" i="15"/>
  <c r="H71" i="4"/>
  <c r="H81" i="4"/>
  <c r="H85" i="4"/>
  <c r="T87" i="4"/>
  <c r="H89" i="4"/>
  <c r="N90" i="4"/>
  <c r="T91" i="4"/>
  <c r="EE159" i="13"/>
  <c r="J36" i="14"/>
  <c r="CS36" i="14"/>
  <c r="EQ75" i="12"/>
  <c r="FA75" i="12" s="1"/>
  <c r="EQ74" i="12"/>
  <c r="FA74" i="12" s="1"/>
  <c r="EQ76" i="12"/>
  <c r="FA76" i="12" s="1"/>
  <c r="DY43" i="14"/>
  <c r="ED43" i="14" s="1"/>
  <c r="O68" i="4"/>
  <c r="I71" i="4"/>
  <c r="U73" i="4"/>
  <c r="I81" i="4"/>
  <c r="U83" i="4"/>
  <c r="I85" i="4"/>
  <c r="O86" i="4"/>
  <c r="U87" i="4"/>
  <c r="I89" i="4"/>
  <c r="O90" i="4"/>
  <c r="U91" i="4"/>
  <c r="J66" i="12"/>
  <c r="CS66" i="12"/>
  <c r="J38" i="14"/>
  <c r="CS38" i="14"/>
  <c r="J63" i="12"/>
  <c r="CS63" i="12"/>
  <c r="U69" i="4"/>
  <c r="O72" i="4"/>
  <c r="O82" i="4"/>
  <c r="N65" i="4"/>
  <c r="AF65" i="4" s="1"/>
  <c r="AP65" i="4" s="1"/>
  <c r="L67" i="4"/>
  <c r="P66" i="4"/>
  <c r="P68" i="4"/>
  <c r="V69" i="4"/>
  <c r="J71" i="4"/>
  <c r="P72" i="4"/>
  <c r="V73" i="4"/>
  <c r="J81" i="4"/>
  <c r="P82" i="4"/>
  <c r="V83" i="4"/>
  <c r="J85" i="4"/>
  <c r="P86" i="4"/>
  <c r="V87" i="4"/>
  <c r="P90" i="4"/>
  <c r="V91" i="4"/>
  <c r="EQ80" i="12"/>
  <c r="FA80" i="12" s="1"/>
  <c r="EQ81" i="12"/>
  <c r="FA81" i="12" s="1"/>
  <c r="EE65" i="12"/>
  <c r="ER67" i="12" s="1"/>
  <c r="FB67" i="12" s="1"/>
  <c r="EE79" i="14"/>
  <c r="DZ86" i="14"/>
  <c r="EE86" i="14" s="1"/>
  <c r="ER171" i="13"/>
  <c r="ER170" i="13"/>
  <c r="ER168" i="13"/>
  <c r="ER169" i="13"/>
  <c r="ER172" i="13"/>
  <c r="Q82" i="4"/>
  <c r="Q86" i="4"/>
  <c r="W87" i="4"/>
  <c r="Q90" i="4"/>
  <c r="W91" i="4"/>
  <c r="J149" i="13"/>
  <c r="CS149" i="13"/>
  <c r="EE116" i="13"/>
  <c r="Q65" i="4"/>
  <c r="Q68" i="4"/>
  <c r="O63" i="4"/>
  <c r="AF63" i="4" s="1"/>
  <c r="AP63" i="4" s="1"/>
  <c r="N67" i="4"/>
  <c r="P67" i="4"/>
  <c r="R68" i="4"/>
  <c r="F70" i="4"/>
  <c r="L71" i="4"/>
  <c r="R72" i="4"/>
  <c r="AG72" i="4" s="1"/>
  <c r="AQ72" i="4" s="1"/>
  <c r="F74" i="4"/>
  <c r="L81" i="4"/>
  <c r="R82" i="4"/>
  <c r="AG82" i="4" s="1"/>
  <c r="AQ82" i="4" s="1"/>
  <c r="F84" i="4"/>
  <c r="L85" i="4"/>
  <c r="AF85" i="4" s="1"/>
  <c r="AP85" i="4" s="1"/>
  <c r="R86" i="4"/>
  <c r="F88" i="4"/>
  <c r="L89" i="4"/>
  <c r="R90" i="4"/>
  <c r="F92" i="4"/>
  <c r="ED159" i="13"/>
  <c r="J146" i="13"/>
  <c r="CS146" i="13"/>
  <c r="CS80" i="14"/>
  <c r="J80" i="14"/>
  <c r="H67" i="4"/>
  <c r="O64" i="4"/>
  <c r="O67" i="4"/>
  <c r="Q67" i="4"/>
  <c r="S68" i="4"/>
  <c r="G70" i="4"/>
  <c r="M71" i="4"/>
  <c r="S72" i="4"/>
  <c r="G74" i="4"/>
  <c r="M81" i="4"/>
  <c r="S82" i="4"/>
  <c r="G84" i="4"/>
  <c r="M85" i="4"/>
  <c r="S86" i="4"/>
  <c r="G88" i="4"/>
  <c r="S90" i="4"/>
  <c r="G92" i="4"/>
  <c r="DY86" i="14"/>
  <c r="ED86" i="14" s="1"/>
  <c r="J39" i="14"/>
  <c r="CS39" i="14"/>
  <c r="J150" i="13"/>
  <c r="CS150" i="13"/>
  <c r="ED89" i="12"/>
  <c r="EQ91" i="12" s="1"/>
  <c r="FA91" i="12" s="1"/>
  <c r="O65" i="4"/>
  <c r="R67" i="4"/>
  <c r="T68" i="4"/>
  <c r="H70" i="4"/>
  <c r="N71" i="4"/>
  <c r="T72" i="4"/>
  <c r="H74" i="4"/>
  <c r="N81" i="4"/>
  <c r="T82" i="4"/>
  <c r="H84" i="4"/>
  <c r="N85" i="4"/>
  <c r="T86" i="4"/>
  <c r="H88" i="4"/>
  <c r="N89" i="4"/>
  <c r="T90" i="4"/>
  <c r="H92" i="4"/>
  <c r="J147" i="13"/>
  <c r="CS147" i="13"/>
  <c r="EQ96" i="12"/>
  <c r="FA96" i="12" s="1"/>
  <c r="EQ95" i="12"/>
  <c r="FA95" i="12" s="1"/>
  <c r="EQ94" i="12"/>
  <c r="FA94" i="12" s="1"/>
  <c r="EQ123" i="13"/>
  <c r="FI123" i="13" s="1"/>
  <c r="EQ121" i="13"/>
  <c r="FI121" i="13" s="1"/>
  <c r="EQ122" i="13"/>
  <c r="FI122" i="13" s="1"/>
  <c r="EQ124" i="13"/>
  <c r="FI124" i="13" s="1"/>
  <c r="ED25" i="15"/>
  <c r="EQ17" i="15"/>
  <c r="R65" i="4"/>
  <c r="Q66" i="4"/>
  <c r="U65" i="4"/>
  <c r="S67" i="4"/>
  <c r="U68" i="4"/>
  <c r="I70" i="4"/>
  <c r="O71" i="4"/>
  <c r="U72" i="4"/>
  <c r="I74" i="4"/>
  <c r="O81" i="4"/>
  <c r="U82" i="4"/>
  <c r="I84" i="4"/>
  <c r="O85" i="4"/>
  <c r="U86" i="4"/>
  <c r="I88" i="4"/>
  <c r="I92" i="4"/>
  <c r="J88" i="12"/>
  <c r="CS88" i="12"/>
  <c r="ED100" i="12"/>
  <c r="J82" i="14"/>
  <c r="CS82" i="14"/>
  <c r="EQ99" i="12"/>
  <c r="FA99" i="12" s="1"/>
  <c r="EQ98" i="12"/>
  <c r="FA98" i="12" s="1"/>
  <c r="EQ97" i="12"/>
  <c r="FA97" i="12" s="1"/>
  <c r="D58" i="8"/>
  <c r="E58" i="8"/>
  <c r="I280" i="8"/>
  <c r="J280" i="8" s="1"/>
  <c r="F300" i="8"/>
  <c r="Q303" i="8"/>
  <c r="Q298" i="8"/>
  <c r="Q297" i="8"/>
  <c r="I274" i="8"/>
  <c r="J274" i="8" s="1"/>
  <c r="G297" i="8"/>
  <c r="G299" i="8"/>
  <c r="F304" i="8"/>
  <c r="S275" i="8"/>
  <c r="T275" i="8" s="1"/>
  <c r="O297" i="8"/>
  <c r="I278" i="8"/>
  <c r="J278" i="8" s="1"/>
  <c r="I270" i="8"/>
  <c r="J270" i="8" s="1"/>
  <c r="S271" i="8"/>
  <c r="T271" i="8" s="1"/>
  <c r="Q301" i="8"/>
  <c r="S269" i="8"/>
  <c r="T269" i="8" s="1"/>
  <c r="S284" i="8"/>
  <c r="T284" i="8" s="1"/>
  <c r="S276" i="8"/>
  <c r="T276" i="8" s="1"/>
  <c r="Q305" i="8"/>
  <c r="E307" i="8"/>
  <c r="Q306" i="8"/>
  <c r="AY48" i="8"/>
  <c r="AQ48" i="8"/>
  <c r="AX48" i="8"/>
  <c r="DI48" i="8" s="1"/>
  <c r="AP48" i="8"/>
  <c r="DF48" i="8" s="1"/>
  <c r="AW48" i="8"/>
  <c r="AO48" i="8"/>
  <c r="AV48" i="8"/>
  <c r="AU48" i="8"/>
  <c r="DH48" i="8" s="1"/>
  <c r="AT48" i="8"/>
  <c r="DG48" i="8" s="1"/>
  <c r="BA48" i="8"/>
  <c r="AS48" i="8"/>
  <c r="AZ48" i="8"/>
  <c r="AR48" i="8"/>
  <c r="BB48" i="8"/>
  <c r="AM99" i="8"/>
  <c r="AE99" i="8"/>
  <c r="AL99" i="8"/>
  <c r="AD99" i="8"/>
  <c r="AK99" i="8"/>
  <c r="AC99" i="8"/>
  <c r="AJ99" i="8"/>
  <c r="DE99" i="8" s="1"/>
  <c r="AB99" i="8"/>
  <c r="DB99" i="8" s="1"/>
  <c r="AI99" i="8"/>
  <c r="AA99" i="8"/>
  <c r="AH99" i="8"/>
  <c r="AG99" i="8"/>
  <c r="DD99" i="8" s="1"/>
  <c r="AN99" i="8"/>
  <c r="AF99" i="8"/>
  <c r="DC99" i="8" s="1"/>
  <c r="Q304" i="8"/>
  <c r="BK54" i="8"/>
  <c r="BC54" i="8"/>
  <c r="BJ54" i="8"/>
  <c r="BI54" i="8"/>
  <c r="DL54" i="8" s="1"/>
  <c r="BH54" i="8"/>
  <c r="DK54" i="8" s="1"/>
  <c r="BO54" i="8"/>
  <c r="BG54" i="8"/>
  <c r="BN54" i="8"/>
  <c r="BF54" i="8"/>
  <c r="BM54" i="8"/>
  <c r="BE54" i="8"/>
  <c r="BL54" i="8"/>
  <c r="DM54" i="8" s="1"/>
  <c r="BD54" i="8"/>
  <c r="DJ54" i="8" s="1"/>
  <c r="BP54" i="8"/>
  <c r="AG51" i="8"/>
  <c r="DD51" i="8" s="1"/>
  <c r="AF51" i="8"/>
  <c r="DC51" i="8" s="1"/>
  <c r="AM51" i="8"/>
  <c r="AE51" i="8"/>
  <c r="AL51" i="8"/>
  <c r="AD51" i="8"/>
  <c r="AK51" i="8"/>
  <c r="AC51" i="8"/>
  <c r="AJ51" i="8"/>
  <c r="DE51" i="8" s="1"/>
  <c r="AB51" i="8"/>
  <c r="DB51" i="8" s="1"/>
  <c r="AI51" i="8"/>
  <c r="AH51" i="8"/>
  <c r="AA51" i="8"/>
  <c r="AN51" i="8"/>
  <c r="AK47" i="8"/>
  <c r="AC47" i="8"/>
  <c r="AJ47" i="8"/>
  <c r="DE47" i="8" s="1"/>
  <c r="AB47" i="8"/>
  <c r="DB47" i="8" s="1"/>
  <c r="AI47" i="8"/>
  <c r="AA47" i="8"/>
  <c r="AH47" i="8"/>
  <c r="AG47" i="8"/>
  <c r="DD47" i="8" s="1"/>
  <c r="AF47" i="8"/>
  <c r="DC47" i="8" s="1"/>
  <c r="AM47" i="8"/>
  <c r="AL47" i="8"/>
  <c r="AE47" i="8"/>
  <c r="AD47" i="8"/>
  <c r="AN47" i="8"/>
  <c r="AI105" i="8"/>
  <c r="AA105" i="8"/>
  <c r="AH105" i="8"/>
  <c r="AG105" i="8"/>
  <c r="DD105" i="8" s="1"/>
  <c r="AN105" i="8"/>
  <c r="AF105" i="8"/>
  <c r="DC105" i="8" s="1"/>
  <c r="AM105" i="8"/>
  <c r="AE105" i="8"/>
  <c r="AL105" i="8"/>
  <c r="AD105" i="8"/>
  <c r="AK105" i="8"/>
  <c r="AC105" i="8"/>
  <c r="AB105" i="8"/>
  <c r="DB105" i="8" s="1"/>
  <c r="AJ105" i="8"/>
  <c r="DE105" i="8" s="1"/>
  <c r="CA48" i="8"/>
  <c r="BS48" i="8"/>
  <c r="BZ48" i="8"/>
  <c r="DQ48" i="8" s="1"/>
  <c r="BR48" i="8"/>
  <c r="DN48" i="8" s="1"/>
  <c r="BY48" i="8"/>
  <c r="BQ48" i="8"/>
  <c r="BX48" i="8"/>
  <c r="BW48" i="8"/>
  <c r="DP48" i="8" s="1"/>
  <c r="BV48" i="8"/>
  <c r="DO48" i="8" s="1"/>
  <c r="CC48" i="8"/>
  <c r="BU48" i="8"/>
  <c r="CB48" i="8"/>
  <c r="BT48" i="8"/>
  <c r="CD48" i="8"/>
  <c r="AY98" i="8"/>
  <c r="AQ98" i="8"/>
  <c r="AX98" i="8"/>
  <c r="DI98" i="8" s="1"/>
  <c r="AP98" i="8"/>
  <c r="DF98" i="8" s="1"/>
  <c r="AW98" i="8"/>
  <c r="AO98" i="8"/>
  <c r="AV98" i="8"/>
  <c r="AU98" i="8"/>
  <c r="DH98" i="8" s="1"/>
  <c r="BB98" i="8"/>
  <c r="AT98" i="8"/>
  <c r="DG98" i="8" s="1"/>
  <c r="BA98" i="8"/>
  <c r="AS98" i="8"/>
  <c r="AZ98" i="8"/>
  <c r="AR98" i="8"/>
  <c r="BA103" i="8"/>
  <c r="AS103" i="8"/>
  <c r="AZ103" i="8"/>
  <c r="AR103" i="8"/>
  <c r="AY103" i="8"/>
  <c r="AQ103" i="8"/>
  <c r="AX103" i="8"/>
  <c r="DI103" i="8" s="1"/>
  <c r="AP103" i="8"/>
  <c r="DF103" i="8" s="1"/>
  <c r="AW103" i="8"/>
  <c r="AO103" i="8"/>
  <c r="AV103" i="8"/>
  <c r="AU103" i="8"/>
  <c r="DH103" i="8" s="1"/>
  <c r="BB103" i="8"/>
  <c r="AT103" i="8"/>
  <c r="DG103" i="8" s="1"/>
  <c r="W106" i="8"/>
  <c r="O106" i="8"/>
  <c r="V106" i="8"/>
  <c r="DA106" i="8" s="1"/>
  <c r="N106" i="8"/>
  <c r="CX106" i="8" s="1"/>
  <c r="U106" i="8"/>
  <c r="M106" i="8"/>
  <c r="T106" i="8"/>
  <c r="S106" i="8"/>
  <c r="CZ106" i="8" s="1"/>
  <c r="Z106" i="8"/>
  <c r="R106" i="8"/>
  <c r="CY106" i="8" s="1"/>
  <c r="Y106" i="8"/>
  <c r="Q106" i="8"/>
  <c r="P106" i="8"/>
  <c r="X106" i="8"/>
  <c r="Y57" i="8"/>
  <c r="Q57" i="8"/>
  <c r="X57" i="8"/>
  <c r="P57" i="8"/>
  <c r="W57" i="8"/>
  <c r="O57" i="8"/>
  <c r="V57" i="8"/>
  <c r="DA57" i="8" s="1"/>
  <c r="N57" i="8"/>
  <c r="CX57" i="8" s="1"/>
  <c r="U57" i="8"/>
  <c r="M57" i="8"/>
  <c r="T57" i="8"/>
  <c r="R57" i="8"/>
  <c r="S57" i="8"/>
  <c r="Z57" i="8"/>
  <c r="BY107" i="8"/>
  <c r="BQ107" i="8"/>
  <c r="BX107" i="8"/>
  <c r="BW107" i="8"/>
  <c r="DP107" i="8" s="1"/>
  <c r="CD107" i="8"/>
  <c r="BV107" i="8"/>
  <c r="DO107" i="8" s="1"/>
  <c r="CC107" i="8"/>
  <c r="BU107" i="8"/>
  <c r="CB107" i="8"/>
  <c r="BT107" i="8"/>
  <c r="CA107" i="8"/>
  <c r="BS107" i="8"/>
  <c r="BZ107" i="8"/>
  <c r="DQ107" i="8" s="1"/>
  <c r="BR107" i="8"/>
  <c r="DN107" i="8" s="1"/>
  <c r="BM100" i="8"/>
  <c r="BE100" i="8"/>
  <c r="BL100" i="8"/>
  <c r="DM100" i="8" s="1"/>
  <c r="BD100" i="8"/>
  <c r="DJ100" i="8" s="1"/>
  <c r="BK100" i="8"/>
  <c r="BC100" i="8"/>
  <c r="BJ100" i="8"/>
  <c r="BI100" i="8"/>
  <c r="DL100" i="8" s="1"/>
  <c r="BP100" i="8"/>
  <c r="BH100" i="8"/>
  <c r="DK100" i="8" s="1"/>
  <c r="BO100" i="8"/>
  <c r="BG100" i="8"/>
  <c r="BN100" i="8"/>
  <c r="BF100" i="8"/>
  <c r="AH46" i="8"/>
  <c r="AG46" i="8"/>
  <c r="DD46" i="8" s="1"/>
  <c r="AF46" i="8"/>
  <c r="DC46" i="8" s="1"/>
  <c r="AM46" i="8"/>
  <c r="AE46" i="8"/>
  <c r="AL46" i="8"/>
  <c r="AD46" i="8"/>
  <c r="AK46" i="8"/>
  <c r="AC46" i="8"/>
  <c r="AJ46" i="8"/>
  <c r="DE46" i="8" s="1"/>
  <c r="AI46" i="8"/>
  <c r="AB46" i="8"/>
  <c r="DB46" i="8" s="1"/>
  <c r="AA46" i="8"/>
  <c r="AN46" i="8"/>
  <c r="BW102" i="8"/>
  <c r="DP102" i="8" s="1"/>
  <c r="CD102" i="8"/>
  <c r="BV102" i="8"/>
  <c r="DO102" i="8" s="1"/>
  <c r="CC102" i="8"/>
  <c r="BU102" i="8"/>
  <c r="CB102" i="8"/>
  <c r="BT102" i="8"/>
  <c r="CA102" i="8"/>
  <c r="BS102" i="8"/>
  <c r="BZ102" i="8"/>
  <c r="DQ102" i="8" s="1"/>
  <c r="BR102" i="8"/>
  <c r="DN102" i="8" s="1"/>
  <c r="BY102" i="8"/>
  <c r="BQ102" i="8"/>
  <c r="BX102" i="8"/>
  <c r="X49" i="8"/>
  <c r="P49" i="8"/>
  <c r="W49" i="8"/>
  <c r="O49" i="8"/>
  <c r="N49" i="8"/>
  <c r="CX49" i="8" s="1"/>
  <c r="V49" i="8"/>
  <c r="DA49" i="8" s="1"/>
  <c r="U49" i="8"/>
  <c r="M49" i="8"/>
  <c r="S49" i="8"/>
  <c r="CZ49" i="8" s="1"/>
  <c r="Q49" i="8"/>
  <c r="T49" i="8"/>
  <c r="R49" i="8"/>
  <c r="CY49" i="8" s="1"/>
  <c r="Y49" i="8"/>
  <c r="Z49" i="8"/>
  <c r="AV107" i="8"/>
  <c r="AU107" i="8"/>
  <c r="DH107" i="8" s="1"/>
  <c r="BB107" i="8"/>
  <c r="AT107" i="8"/>
  <c r="DG107" i="8" s="1"/>
  <c r="AZ107" i="8"/>
  <c r="AR107" i="8"/>
  <c r="AY107" i="8"/>
  <c r="AX107" i="8"/>
  <c r="DI107" i="8" s="1"/>
  <c r="AW107" i="8"/>
  <c r="AS107" i="8"/>
  <c r="AQ107" i="8"/>
  <c r="AP107" i="8"/>
  <c r="DF107" i="8" s="1"/>
  <c r="AO107" i="8"/>
  <c r="BA107" i="8"/>
  <c r="I285" i="8"/>
  <c r="J285" i="8" s="1"/>
  <c r="S104" i="8"/>
  <c r="CZ104" i="8" s="1"/>
  <c r="Z104" i="8"/>
  <c r="R104" i="8"/>
  <c r="CY104" i="8" s="1"/>
  <c r="Y104" i="8"/>
  <c r="Q104" i="8"/>
  <c r="X104" i="8"/>
  <c r="P104" i="8"/>
  <c r="W104" i="8"/>
  <c r="V104" i="8"/>
  <c r="DA104" i="8" s="1"/>
  <c r="N104" i="8"/>
  <c r="CX104" i="8" s="1"/>
  <c r="U104" i="8"/>
  <c r="M104" i="8"/>
  <c r="T104" i="8"/>
  <c r="O104" i="8"/>
  <c r="AZ51" i="8"/>
  <c r="AR51" i="8"/>
  <c r="AY51" i="8"/>
  <c r="AQ51" i="8"/>
  <c r="AX51" i="8"/>
  <c r="DI51" i="8" s="1"/>
  <c r="AP51" i="8"/>
  <c r="DF51" i="8" s="1"/>
  <c r="AW51" i="8"/>
  <c r="AO51" i="8"/>
  <c r="AV51" i="8"/>
  <c r="AU51" i="8"/>
  <c r="DH51" i="8" s="1"/>
  <c r="AT51" i="8"/>
  <c r="DG51" i="8" s="1"/>
  <c r="BA51" i="8"/>
  <c r="AS51" i="8"/>
  <c r="BB51" i="8"/>
  <c r="AW101" i="8"/>
  <c r="AO101" i="8"/>
  <c r="AV101" i="8"/>
  <c r="AU101" i="8"/>
  <c r="DH101" i="8" s="1"/>
  <c r="BB101" i="8"/>
  <c r="AT101" i="8"/>
  <c r="DG101" i="8" s="1"/>
  <c r="BA101" i="8"/>
  <c r="AS101" i="8"/>
  <c r="AZ101" i="8"/>
  <c r="AR101" i="8"/>
  <c r="AY101" i="8"/>
  <c r="AQ101" i="8"/>
  <c r="AX101" i="8"/>
  <c r="DI101" i="8" s="1"/>
  <c r="AP101" i="8"/>
  <c r="DF101" i="8" s="1"/>
  <c r="T97" i="8"/>
  <c r="S97" i="8"/>
  <c r="CZ97" i="8" s="1"/>
  <c r="Z97" i="8"/>
  <c r="R97" i="8"/>
  <c r="CY97" i="8" s="1"/>
  <c r="X97" i="8"/>
  <c r="P97" i="8"/>
  <c r="W97" i="8"/>
  <c r="O97" i="8"/>
  <c r="N97" i="8"/>
  <c r="CX97" i="8" s="1"/>
  <c r="M97" i="8"/>
  <c r="Q97" i="8"/>
  <c r="Y97" i="8"/>
  <c r="V97" i="8"/>
  <c r="DA97" i="8" s="1"/>
  <c r="U97" i="8"/>
  <c r="S55" i="8"/>
  <c r="CZ55" i="8" s="1"/>
  <c r="R55" i="8"/>
  <c r="CY55" i="8" s="1"/>
  <c r="Y55" i="8"/>
  <c r="Q55" i="8"/>
  <c r="X55" i="8"/>
  <c r="P55" i="8"/>
  <c r="V55" i="8"/>
  <c r="DA55" i="8" s="1"/>
  <c r="N55" i="8"/>
  <c r="CX55" i="8" s="1"/>
  <c r="U55" i="8"/>
  <c r="W55" i="8"/>
  <c r="T55" i="8"/>
  <c r="O55" i="8"/>
  <c r="M55" i="8"/>
  <c r="Z55" i="8"/>
  <c r="AW105" i="8"/>
  <c r="AO105" i="8"/>
  <c r="AV105" i="8"/>
  <c r="AU105" i="8"/>
  <c r="DH105" i="8" s="1"/>
  <c r="BB105" i="8"/>
  <c r="AT105" i="8"/>
  <c r="DG105" i="8" s="1"/>
  <c r="BA105" i="8"/>
  <c r="AS105" i="8"/>
  <c r="AZ105" i="8"/>
  <c r="AR105" i="8"/>
  <c r="AY105" i="8"/>
  <c r="AQ105" i="8"/>
  <c r="AP105" i="8"/>
  <c r="DF105" i="8" s="1"/>
  <c r="AX105" i="8"/>
  <c r="DI105" i="8" s="1"/>
  <c r="BI48" i="8"/>
  <c r="DL48" i="8" s="1"/>
  <c r="BH48" i="8"/>
  <c r="DK48" i="8" s="1"/>
  <c r="BO48" i="8"/>
  <c r="BG48" i="8"/>
  <c r="BN48" i="8"/>
  <c r="BF48" i="8"/>
  <c r="BM48" i="8"/>
  <c r="BE48" i="8"/>
  <c r="BL48" i="8"/>
  <c r="DM48" i="8" s="1"/>
  <c r="BD48" i="8"/>
  <c r="DJ48" i="8" s="1"/>
  <c r="BK48" i="8"/>
  <c r="BC48" i="8"/>
  <c r="BJ48" i="8"/>
  <c r="BP48" i="8"/>
  <c r="BH53" i="8"/>
  <c r="DK53" i="8" s="1"/>
  <c r="BO53" i="8"/>
  <c r="BG53" i="8"/>
  <c r="BN53" i="8"/>
  <c r="BF53" i="8"/>
  <c r="BM53" i="8"/>
  <c r="BE53" i="8"/>
  <c r="BL53" i="8"/>
  <c r="DM53" i="8" s="1"/>
  <c r="BD53" i="8"/>
  <c r="DJ53" i="8" s="1"/>
  <c r="BK53" i="8"/>
  <c r="BC53" i="8"/>
  <c r="BJ53" i="8"/>
  <c r="BI53" i="8"/>
  <c r="DL53" i="8" s="1"/>
  <c r="BP53" i="8"/>
  <c r="BY103" i="8"/>
  <c r="BQ103" i="8"/>
  <c r="BX103" i="8"/>
  <c r="BW103" i="8"/>
  <c r="DP103" i="8" s="1"/>
  <c r="CD103" i="8"/>
  <c r="BV103" i="8"/>
  <c r="DO103" i="8" s="1"/>
  <c r="CC103" i="8"/>
  <c r="BU103" i="8"/>
  <c r="CB103" i="8"/>
  <c r="BT103" i="8"/>
  <c r="CA103" i="8"/>
  <c r="BS103" i="8"/>
  <c r="BR103" i="8"/>
  <c r="DN103" i="8" s="1"/>
  <c r="BZ103" i="8"/>
  <c r="DQ103" i="8" s="1"/>
  <c r="BI56" i="8"/>
  <c r="DL56" i="8" s="1"/>
  <c r="BH56" i="8"/>
  <c r="DK56" i="8" s="1"/>
  <c r="BO56" i="8"/>
  <c r="BG56" i="8"/>
  <c r="BN56" i="8"/>
  <c r="BF56" i="8"/>
  <c r="BM56" i="8"/>
  <c r="BE56" i="8"/>
  <c r="BL56" i="8"/>
  <c r="DM56" i="8" s="1"/>
  <c r="BD56" i="8"/>
  <c r="DJ56" i="8" s="1"/>
  <c r="BK56" i="8"/>
  <c r="BC56" i="8"/>
  <c r="BJ56" i="8"/>
  <c r="BP56" i="8"/>
  <c r="BB106" i="8"/>
  <c r="AY106" i="8"/>
  <c r="AQ106" i="8"/>
  <c r="AX106" i="8"/>
  <c r="DI106" i="8" s="1"/>
  <c r="AP106" i="8"/>
  <c r="DF106" i="8" s="1"/>
  <c r="AW106" i="8"/>
  <c r="AO106" i="8"/>
  <c r="AV106" i="8"/>
  <c r="AU106" i="8"/>
  <c r="DH106" i="8" s="1"/>
  <c r="AT106" i="8"/>
  <c r="DG106" i="8" s="1"/>
  <c r="BA106" i="8"/>
  <c r="AS106" i="8"/>
  <c r="AZ106" i="8"/>
  <c r="AR106" i="8"/>
  <c r="AJ57" i="8"/>
  <c r="DE57" i="8" s="1"/>
  <c r="AB57" i="8"/>
  <c r="DB57" i="8" s="1"/>
  <c r="AI57" i="8"/>
  <c r="AA57" i="8"/>
  <c r="AH57" i="8"/>
  <c r="AG57" i="8"/>
  <c r="DD57" i="8" s="1"/>
  <c r="AF57" i="8"/>
  <c r="DC57" i="8" s="1"/>
  <c r="AM57" i="8"/>
  <c r="AE57" i="8"/>
  <c r="AL57" i="8"/>
  <c r="AD57" i="8"/>
  <c r="AC57" i="8"/>
  <c r="AK57" i="8"/>
  <c r="AN57" i="8"/>
  <c r="BA46" i="8"/>
  <c r="AS46" i="8"/>
  <c r="AZ46" i="8"/>
  <c r="AR46" i="8"/>
  <c r="AY46" i="8"/>
  <c r="AQ46" i="8"/>
  <c r="AX46" i="8"/>
  <c r="DI46" i="8" s="1"/>
  <c r="AP46" i="8"/>
  <c r="DF46" i="8" s="1"/>
  <c r="AW46" i="8"/>
  <c r="AO46" i="8"/>
  <c r="AV46" i="8"/>
  <c r="AU46" i="8"/>
  <c r="DH46" i="8" s="1"/>
  <c r="AT46" i="8"/>
  <c r="DG46" i="8" s="1"/>
  <c r="BB46" i="8"/>
  <c r="V102" i="8"/>
  <c r="DA102" i="8" s="1"/>
  <c r="N102" i="8"/>
  <c r="CX102" i="8" s="1"/>
  <c r="U102" i="8"/>
  <c r="M102" i="8"/>
  <c r="T102" i="8"/>
  <c r="Z102" i="8"/>
  <c r="R102" i="8"/>
  <c r="CY102" i="8" s="1"/>
  <c r="Y102" i="8"/>
  <c r="Q102" i="8"/>
  <c r="X102" i="8"/>
  <c r="S102" i="8"/>
  <c r="CZ102" i="8" s="1"/>
  <c r="W102" i="8"/>
  <c r="P102" i="8"/>
  <c r="O102" i="8"/>
  <c r="BY99" i="8"/>
  <c r="BQ99" i="8"/>
  <c r="BX99" i="8"/>
  <c r="BW99" i="8"/>
  <c r="DP99" i="8" s="1"/>
  <c r="CD99" i="8"/>
  <c r="BV99" i="8"/>
  <c r="DO99" i="8" s="1"/>
  <c r="CC99" i="8"/>
  <c r="BU99" i="8"/>
  <c r="CB99" i="8"/>
  <c r="BT99" i="8"/>
  <c r="CA99" i="8"/>
  <c r="BS99" i="8"/>
  <c r="BZ99" i="8"/>
  <c r="DQ99" i="8" s="1"/>
  <c r="BR99" i="8"/>
  <c r="DN99" i="8" s="1"/>
  <c r="AH54" i="8"/>
  <c r="AG54" i="8"/>
  <c r="DD54" i="8" s="1"/>
  <c r="AF54" i="8"/>
  <c r="DC54" i="8" s="1"/>
  <c r="AM54" i="8"/>
  <c r="AE54" i="8"/>
  <c r="AL54" i="8"/>
  <c r="AD54" i="8"/>
  <c r="AK54" i="8"/>
  <c r="AC54" i="8"/>
  <c r="AI54" i="8"/>
  <c r="AB54" i="8"/>
  <c r="DB54" i="8" s="1"/>
  <c r="AA54" i="8"/>
  <c r="AJ54" i="8"/>
  <c r="DE54" i="8" s="1"/>
  <c r="AN54" i="8"/>
  <c r="BL96" i="8"/>
  <c r="DM96" i="8" s="1"/>
  <c r="BD96" i="8"/>
  <c r="DJ96" i="8" s="1"/>
  <c r="BK96" i="8"/>
  <c r="BC96" i="8"/>
  <c r="BJ96" i="8"/>
  <c r="BP96" i="8"/>
  <c r="BH96" i="8"/>
  <c r="DK96" i="8" s="1"/>
  <c r="BO96" i="8"/>
  <c r="BG96" i="8"/>
  <c r="BN96" i="8"/>
  <c r="BM96" i="8"/>
  <c r="BI96" i="8"/>
  <c r="DL96" i="8" s="1"/>
  <c r="BF96" i="8"/>
  <c r="BE96" i="8"/>
  <c r="AU104" i="8"/>
  <c r="DH104" i="8" s="1"/>
  <c r="BB104" i="8"/>
  <c r="AT104" i="8"/>
  <c r="DG104" i="8" s="1"/>
  <c r="BA104" i="8"/>
  <c r="AS104" i="8"/>
  <c r="AZ104" i="8"/>
  <c r="AR104" i="8"/>
  <c r="AY104" i="8"/>
  <c r="AQ104" i="8"/>
  <c r="AX104" i="8"/>
  <c r="DI104" i="8" s="1"/>
  <c r="AP104" i="8"/>
  <c r="DF104" i="8" s="1"/>
  <c r="AW104" i="8"/>
  <c r="AO104" i="8"/>
  <c r="AV104" i="8"/>
  <c r="CB51" i="8"/>
  <c r="BT51" i="8"/>
  <c r="CA51" i="8"/>
  <c r="BS51" i="8"/>
  <c r="BZ51" i="8"/>
  <c r="DQ51" i="8" s="1"/>
  <c r="BR51" i="8"/>
  <c r="DN51" i="8" s="1"/>
  <c r="BY51" i="8"/>
  <c r="BQ51" i="8"/>
  <c r="BX51" i="8"/>
  <c r="BW51" i="8"/>
  <c r="DP51" i="8" s="1"/>
  <c r="BV51" i="8"/>
  <c r="DO51" i="8" s="1"/>
  <c r="CC51" i="8"/>
  <c r="BU51" i="8"/>
  <c r="CD51" i="8"/>
  <c r="CC101" i="8"/>
  <c r="BU101" i="8"/>
  <c r="CB101" i="8"/>
  <c r="BT101" i="8"/>
  <c r="CA101" i="8"/>
  <c r="BS101" i="8"/>
  <c r="BZ101" i="8"/>
  <c r="DQ101" i="8" s="1"/>
  <c r="BR101" i="8"/>
  <c r="DN101" i="8" s="1"/>
  <c r="BY101" i="8"/>
  <c r="BQ101" i="8"/>
  <c r="BX101" i="8"/>
  <c r="BW101" i="8"/>
  <c r="DP101" i="8" s="1"/>
  <c r="CD101" i="8"/>
  <c r="BV101" i="8"/>
  <c r="DO101" i="8" s="1"/>
  <c r="AI97" i="8"/>
  <c r="AA97" i="8"/>
  <c r="AH97" i="8"/>
  <c r="AG97" i="8"/>
  <c r="DD97" i="8" s="1"/>
  <c r="AN97" i="8"/>
  <c r="AF97" i="8"/>
  <c r="DC97" i="8" s="1"/>
  <c r="AM97" i="8"/>
  <c r="AE97" i="8"/>
  <c r="AL97" i="8"/>
  <c r="AD97" i="8"/>
  <c r="AK97" i="8"/>
  <c r="AC97" i="8"/>
  <c r="AJ97" i="8"/>
  <c r="DE97" i="8" s="1"/>
  <c r="AB97" i="8"/>
  <c r="DB97" i="8" s="1"/>
  <c r="AV55" i="8"/>
  <c r="AU55" i="8"/>
  <c r="DH55" i="8" s="1"/>
  <c r="AT55" i="8"/>
  <c r="DG55" i="8" s="1"/>
  <c r="BA55" i="8"/>
  <c r="AS55" i="8"/>
  <c r="AZ55" i="8"/>
  <c r="AR55" i="8"/>
  <c r="AY55" i="8"/>
  <c r="AQ55" i="8"/>
  <c r="AX55" i="8"/>
  <c r="DI55" i="8" s="1"/>
  <c r="AP55" i="8"/>
  <c r="DF55" i="8" s="1"/>
  <c r="AO55" i="8"/>
  <c r="AW55" i="8"/>
  <c r="BB55" i="8"/>
  <c r="CC105" i="8"/>
  <c r="BU105" i="8"/>
  <c r="CB105" i="8"/>
  <c r="BT105" i="8"/>
  <c r="CA105" i="8"/>
  <c r="BS105" i="8"/>
  <c r="BZ105" i="8"/>
  <c r="DQ105" i="8" s="1"/>
  <c r="BR105" i="8"/>
  <c r="DN105" i="8" s="1"/>
  <c r="BY105" i="8"/>
  <c r="BQ105" i="8"/>
  <c r="BX105" i="8"/>
  <c r="BW105" i="8"/>
  <c r="DP105" i="8" s="1"/>
  <c r="CD105" i="8"/>
  <c r="BV105" i="8"/>
  <c r="DO105" i="8" s="1"/>
  <c r="X103" i="8"/>
  <c r="P103" i="8"/>
  <c r="W103" i="8"/>
  <c r="O103" i="8"/>
  <c r="V103" i="8"/>
  <c r="DA103" i="8" s="1"/>
  <c r="N103" i="8"/>
  <c r="CX103" i="8" s="1"/>
  <c r="T103" i="8"/>
  <c r="S103" i="8"/>
  <c r="CZ103" i="8" s="1"/>
  <c r="M103" i="8"/>
  <c r="Q103" i="8"/>
  <c r="R103" i="8"/>
  <c r="CY103" i="8" s="1"/>
  <c r="Z103" i="8"/>
  <c r="Y103" i="8"/>
  <c r="U103" i="8"/>
  <c r="AF56" i="8"/>
  <c r="DC56" i="8" s="1"/>
  <c r="AM56" i="8"/>
  <c r="AE56" i="8"/>
  <c r="AL56" i="8"/>
  <c r="AD56" i="8"/>
  <c r="AK56" i="8"/>
  <c r="AC56" i="8"/>
  <c r="AJ56" i="8"/>
  <c r="DE56" i="8" s="1"/>
  <c r="AB56" i="8"/>
  <c r="DB56" i="8" s="1"/>
  <c r="AI56" i="8"/>
  <c r="AA56" i="8"/>
  <c r="AH56" i="8"/>
  <c r="AG56" i="8"/>
  <c r="DD56" i="8" s="1"/>
  <c r="AN56" i="8"/>
  <c r="AK106" i="8"/>
  <c r="AC106" i="8"/>
  <c r="AJ106" i="8"/>
  <c r="DE106" i="8" s="1"/>
  <c r="AB106" i="8"/>
  <c r="DB106" i="8" s="1"/>
  <c r="AI106" i="8"/>
  <c r="AA106" i="8"/>
  <c r="AH106" i="8"/>
  <c r="AG106" i="8"/>
  <c r="DD106" i="8" s="1"/>
  <c r="AN106" i="8"/>
  <c r="AF106" i="8"/>
  <c r="DC106" i="8" s="1"/>
  <c r="AM106" i="8"/>
  <c r="AE106" i="8"/>
  <c r="AL106" i="8"/>
  <c r="AD106" i="8"/>
  <c r="AT57" i="8"/>
  <c r="DG57" i="8" s="1"/>
  <c r="BA57" i="8"/>
  <c r="AS57" i="8"/>
  <c r="AZ57" i="8"/>
  <c r="AR57" i="8"/>
  <c r="AY57" i="8"/>
  <c r="AQ57" i="8"/>
  <c r="AX57" i="8"/>
  <c r="DI57" i="8" s="1"/>
  <c r="AP57" i="8"/>
  <c r="DF57" i="8" s="1"/>
  <c r="AW57" i="8"/>
  <c r="AO57" i="8"/>
  <c r="AV57" i="8"/>
  <c r="AU57" i="8"/>
  <c r="DH57" i="8" s="1"/>
  <c r="BB57" i="8"/>
  <c r="BY50" i="8"/>
  <c r="BQ50" i="8"/>
  <c r="BX50" i="8"/>
  <c r="BW50" i="8"/>
  <c r="DP50" i="8" s="1"/>
  <c r="BV50" i="8"/>
  <c r="DO50" i="8" s="1"/>
  <c r="CC50" i="8"/>
  <c r="BU50" i="8"/>
  <c r="CB50" i="8"/>
  <c r="BT50" i="8"/>
  <c r="CA50" i="8"/>
  <c r="BS50" i="8"/>
  <c r="BZ50" i="8"/>
  <c r="DQ50" i="8" s="1"/>
  <c r="BR50" i="8"/>
  <c r="DN50" i="8" s="1"/>
  <c r="CD50" i="8"/>
  <c r="Z100" i="8"/>
  <c r="R100" i="8"/>
  <c r="CY100" i="8" s="1"/>
  <c r="Y100" i="8"/>
  <c r="Q100" i="8"/>
  <c r="X100" i="8"/>
  <c r="P100" i="8"/>
  <c r="V100" i="8"/>
  <c r="DA100" i="8" s="1"/>
  <c r="N100" i="8"/>
  <c r="CX100" i="8" s="1"/>
  <c r="U100" i="8"/>
  <c r="M100" i="8"/>
  <c r="O100" i="8"/>
  <c r="W100" i="8"/>
  <c r="T100" i="8"/>
  <c r="S100" i="8"/>
  <c r="CZ100" i="8" s="1"/>
  <c r="BK46" i="8"/>
  <c r="BC46" i="8"/>
  <c r="BJ46" i="8"/>
  <c r="BI46" i="8"/>
  <c r="DL46" i="8" s="1"/>
  <c r="BH46" i="8"/>
  <c r="DK46" i="8" s="1"/>
  <c r="BO46" i="8"/>
  <c r="BG46" i="8"/>
  <c r="BN46" i="8"/>
  <c r="BF46" i="8"/>
  <c r="BM46" i="8"/>
  <c r="BE46" i="8"/>
  <c r="BL46" i="8"/>
  <c r="DM46" i="8" s="1"/>
  <c r="BD46" i="8"/>
  <c r="DJ46" i="8" s="1"/>
  <c r="BP46" i="8"/>
  <c r="BM52" i="8"/>
  <c r="BE52" i="8"/>
  <c r="BL52" i="8"/>
  <c r="DM52" i="8" s="1"/>
  <c r="BD52" i="8"/>
  <c r="DJ52" i="8" s="1"/>
  <c r="BK52" i="8"/>
  <c r="BC52" i="8"/>
  <c r="BJ52" i="8"/>
  <c r="BI52" i="8"/>
  <c r="DL52" i="8" s="1"/>
  <c r="BH52" i="8"/>
  <c r="DK52" i="8" s="1"/>
  <c r="BO52" i="8"/>
  <c r="BG52" i="8"/>
  <c r="BN52" i="8"/>
  <c r="BF52" i="8"/>
  <c r="BP52" i="8"/>
  <c r="AY102" i="8"/>
  <c r="AQ102" i="8"/>
  <c r="AX102" i="8"/>
  <c r="DI102" i="8" s="1"/>
  <c r="AP102" i="8"/>
  <c r="DF102" i="8" s="1"/>
  <c r="AW102" i="8"/>
  <c r="AO102" i="8"/>
  <c r="AV102" i="8"/>
  <c r="AU102" i="8"/>
  <c r="DH102" i="8" s="1"/>
  <c r="BB102" i="8"/>
  <c r="AT102" i="8"/>
  <c r="DG102" i="8" s="1"/>
  <c r="BA102" i="8"/>
  <c r="AS102" i="8"/>
  <c r="AZ102" i="8"/>
  <c r="AR102" i="8"/>
  <c r="AI49" i="8"/>
  <c r="AA49" i="8"/>
  <c r="AH49" i="8"/>
  <c r="AG49" i="8"/>
  <c r="DD49" i="8" s="1"/>
  <c r="AF49" i="8"/>
  <c r="DC49" i="8" s="1"/>
  <c r="AM49" i="8"/>
  <c r="AE49" i="8"/>
  <c r="AL49" i="8"/>
  <c r="AD49" i="8"/>
  <c r="AJ49" i="8"/>
  <c r="DE49" i="8" s="1"/>
  <c r="AC49" i="8"/>
  <c r="AB49" i="8"/>
  <c r="DB49" i="8" s="1"/>
  <c r="AK49" i="8"/>
  <c r="AN49" i="8"/>
  <c r="BX47" i="8"/>
  <c r="BW47" i="8"/>
  <c r="DP47" i="8" s="1"/>
  <c r="BV47" i="8"/>
  <c r="DO47" i="8" s="1"/>
  <c r="CC47" i="8"/>
  <c r="BU47" i="8"/>
  <c r="CB47" i="8"/>
  <c r="BT47" i="8"/>
  <c r="CA47" i="8"/>
  <c r="BS47" i="8"/>
  <c r="BZ47" i="8"/>
  <c r="DQ47" i="8" s="1"/>
  <c r="BR47" i="8"/>
  <c r="DN47" i="8" s="1"/>
  <c r="BY47" i="8"/>
  <c r="BQ47" i="8"/>
  <c r="CD47" i="8"/>
  <c r="BI106" i="8"/>
  <c r="DL106" i="8" s="1"/>
  <c r="BP106" i="8"/>
  <c r="BH106" i="8"/>
  <c r="DK106" i="8" s="1"/>
  <c r="BO106" i="8"/>
  <c r="BG106" i="8"/>
  <c r="BN106" i="8"/>
  <c r="BF106" i="8"/>
  <c r="BM106" i="8"/>
  <c r="BE106" i="8"/>
  <c r="BL106" i="8"/>
  <c r="DM106" i="8" s="1"/>
  <c r="BD106" i="8"/>
  <c r="DJ106" i="8" s="1"/>
  <c r="BK106" i="8"/>
  <c r="BC106" i="8"/>
  <c r="BJ106" i="8"/>
  <c r="M52" i="8"/>
  <c r="N52" i="8"/>
  <c r="CX52" i="8" s="1"/>
  <c r="R52" i="8"/>
  <c r="CY52" i="8" s="1"/>
  <c r="Y52" i="8"/>
  <c r="Q52" i="8"/>
  <c r="X52" i="8"/>
  <c r="P52" i="8"/>
  <c r="W52" i="8"/>
  <c r="O52" i="8"/>
  <c r="U52" i="8"/>
  <c r="T52" i="8"/>
  <c r="S52" i="8"/>
  <c r="CZ52" i="8" s="1"/>
  <c r="V52" i="8"/>
  <c r="DA52" i="8" s="1"/>
  <c r="Z52" i="8"/>
  <c r="CA104" i="8"/>
  <c r="BS104" i="8"/>
  <c r="BZ104" i="8"/>
  <c r="DQ104" i="8" s="1"/>
  <c r="BR104" i="8"/>
  <c r="DN104" i="8" s="1"/>
  <c r="BY104" i="8"/>
  <c r="BQ104" i="8"/>
  <c r="BX104" i="8"/>
  <c r="BW104" i="8"/>
  <c r="DP104" i="8" s="1"/>
  <c r="CD104" i="8"/>
  <c r="BV104" i="8"/>
  <c r="DO104" i="8" s="1"/>
  <c r="CC104" i="8"/>
  <c r="BU104" i="8"/>
  <c r="CB104" i="8"/>
  <c r="BT104" i="8"/>
  <c r="BJ51" i="8"/>
  <c r="BI51" i="8"/>
  <c r="DL51" i="8" s="1"/>
  <c r="BH51" i="8"/>
  <c r="DK51" i="8" s="1"/>
  <c r="BO51" i="8"/>
  <c r="BG51" i="8"/>
  <c r="BN51" i="8"/>
  <c r="BF51" i="8"/>
  <c r="BM51" i="8"/>
  <c r="BE51" i="8"/>
  <c r="BL51" i="8"/>
  <c r="DM51" i="8" s="1"/>
  <c r="BD51" i="8"/>
  <c r="DJ51" i="8" s="1"/>
  <c r="BK51" i="8"/>
  <c r="BC51" i="8"/>
  <c r="BP51" i="8"/>
  <c r="AV47" i="8"/>
  <c r="AU47" i="8"/>
  <c r="DH47" i="8" s="1"/>
  <c r="AT47" i="8"/>
  <c r="DG47" i="8" s="1"/>
  <c r="BA47" i="8"/>
  <c r="AS47" i="8"/>
  <c r="AZ47" i="8"/>
  <c r="AR47" i="8"/>
  <c r="AY47" i="8"/>
  <c r="AQ47" i="8"/>
  <c r="AX47" i="8"/>
  <c r="DI47" i="8" s="1"/>
  <c r="AP47" i="8"/>
  <c r="DF47" i="8" s="1"/>
  <c r="AW47" i="8"/>
  <c r="AO47" i="8"/>
  <c r="BB47" i="8"/>
  <c r="AW97" i="8"/>
  <c r="AO97" i="8"/>
  <c r="AV97" i="8"/>
  <c r="AU97" i="8"/>
  <c r="DH97" i="8" s="1"/>
  <c r="BB97" i="8"/>
  <c r="AT97" i="8"/>
  <c r="DG97" i="8" s="1"/>
  <c r="BA97" i="8"/>
  <c r="AS97" i="8"/>
  <c r="AZ97" i="8"/>
  <c r="AR97" i="8"/>
  <c r="AY97" i="8"/>
  <c r="AQ97" i="8"/>
  <c r="AX97" i="8"/>
  <c r="DI97" i="8" s="1"/>
  <c r="AP97" i="8"/>
  <c r="DF97" i="8" s="1"/>
  <c r="BX55" i="8"/>
  <c r="BW55" i="8"/>
  <c r="DP55" i="8" s="1"/>
  <c r="BV55" i="8"/>
  <c r="DO55" i="8" s="1"/>
  <c r="CC55" i="8"/>
  <c r="BU55" i="8"/>
  <c r="CB55" i="8"/>
  <c r="BT55" i="8"/>
  <c r="CA55" i="8"/>
  <c r="BS55" i="8"/>
  <c r="BZ55" i="8"/>
  <c r="DQ55" i="8" s="1"/>
  <c r="BR55" i="8"/>
  <c r="DN55" i="8" s="1"/>
  <c r="BY55" i="8"/>
  <c r="BQ55" i="8"/>
  <c r="CD55" i="8"/>
  <c r="BO105" i="8"/>
  <c r="BG105" i="8"/>
  <c r="BN105" i="8"/>
  <c r="BF105" i="8"/>
  <c r="BM105" i="8"/>
  <c r="BE105" i="8"/>
  <c r="BL105" i="8"/>
  <c r="DM105" i="8" s="1"/>
  <c r="BD105" i="8"/>
  <c r="DJ105" i="8" s="1"/>
  <c r="BK105" i="8"/>
  <c r="BC105" i="8"/>
  <c r="BJ105" i="8"/>
  <c r="BI105" i="8"/>
  <c r="DL105" i="8" s="1"/>
  <c r="BP105" i="8"/>
  <c r="BH105" i="8"/>
  <c r="DK105" i="8" s="1"/>
  <c r="BW98" i="8"/>
  <c r="DP98" i="8" s="1"/>
  <c r="CD98" i="8"/>
  <c r="BV98" i="8"/>
  <c r="DO98" i="8" s="1"/>
  <c r="CC98" i="8"/>
  <c r="BU98" i="8"/>
  <c r="CB98" i="8"/>
  <c r="BT98" i="8"/>
  <c r="CA98" i="8"/>
  <c r="BS98" i="8"/>
  <c r="BZ98" i="8"/>
  <c r="DQ98" i="8" s="1"/>
  <c r="BR98" i="8"/>
  <c r="DN98" i="8" s="1"/>
  <c r="BY98" i="8"/>
  <c r="BQ98" i="8"/>
  <c r="BX98" i="8"/>
  <c r="AX53" i="8"/>
  <c r="DI53" i="8" s="1"/>
  <c r="AP53" i="8"/>
  <c r="DF53" i="8" s="1"/>
  <c r="AW53" i="8"/>
  <c r="AO53" i="8"/>
  <c r="AV53" i="8"/>
  <c r="AU53" i="8"/>
  <c r="DH53" i="8" s="1"/>
  <c r="AT53" i="8"/>
  <c r="DG53" i="8" s="1"/>
  <c r="BA53" i="8"/>
  <c r="AS53" i="8"/>
  <c r="AZ53" i="8"/>
  <c r="AR53" i="8"/>
  <c r="AY53" i="8"/>
  <c r="AQ53" i="8"/>
  <c r="BB53" i="8"/>
  <c r="BK103" i="8"/>
  <c r="BC103" i="8"/>
  <c r="BJ103" i="8"/>
  <c r="BI103" i="8"/>
  <c r="DL103" i="8" s="1"/>
  <c r="BP103" i="8"/>
  <c r="BH103" i="8"/>
  <c r="DK103" i="8" s="1"/>
  <c r="BO103" i="8"/>
  <c r="BG103" i="8"/>
  <c r="BN103" i="8"/>
  <c r="BF103" i="8"/>
  <c r="BM103" i="8"/>
  <c r="BE103" i="8"/>
  <c r="BL103" i="8"/>
  <c r="DM103" i="8" s="1"/>
  <c r="BD103" i="8"/>
  <c r="DJ103" i="8" s="1"/>
  <c r="V56" i="8"/>
  <c r="DA56" i="8" s="1"/>
  <c r="N56" i="8"/>
  <c r="CX56" i="8" s="1"/>
  <c r="U56" i="8"/>
  <c r="M56" i="8"/>
  <c r="T56" i="8"/>
  <c r="S56" i="8"/>
  <c r="CZ56" i="8" s="1"/>
  <c r="Y56" i="8"/>
  <c r="Q56" i="8"/>
  <c r="W56" i="8"/>
  <c r="R56" i="8"/>
  <c r="CY56" i="8" s="1"/>
  <c r="P56" i="8"/>
  <c r="O56" i="8"/>
  <c r="X56" i="8"/>
  <c r="Z56" i="8"/>
  <c r="BW106" i="8"/>
  <c r="DP106" i="8" s="1"/>
  <c r="CD106" i="8"/>
  <c r="BV106" i="8"/>
  <c r="DO106" i="8" s="1"/>
  <c r="CC106" i="8"/>
  <c r="BU106" i="8"/>
  <c r="CB106" i="8"/>
  <c r="BT106" i="8"/>
  <c r="CA106" i="8"/>
  <c r="BS106" i="8"/>
  <c r="BZ106" i="8"/>
  <c r="DQ106" i="8" s="1"/>
  <c r="BR106" i="8"/>
  <c r="DN106" i="8" s="1"/>
  <c r="BY106" i="8"/>
  <c r="BQ106" i="8"/>
  <c r="BX106" i="8"/>
  <c r="T50" i="8"/>
  <c r="S50" i="8"/>
  <c r="CZ50" i="8" s="1"/>
  <c r="R50" i="8"/>
  <c r="CY50" i="8" s="1"/>
  <c r="Q50" i="8"/>
  <c r="W50" i="8"/>
  <c r="Y50" i="8"/>
  <c r="O50" i="8"/>
  <c r="X50" i="8"/>
  <c r="P50" i="8"/>
  <c r="V50" i="8"/>
  <c r="DA50" i="8" s="1"/>
  <c r="N50" i="8"/>
  <c r="CX50" i="8" s="1"/>
  <c r="U50" i="8"/>
  <c r="M50" i="8"/>
  <c r="Z50" i="8"/>
  <c r="AU100" i="8"/>
  <c r="DH100" i="8" s="1"/>
  <c r="BB100" i="8"/>
  <c r="AT100" i="8"/>
  <c r="DG100" i="8" s="1"/>
  <c r="BA100" i="8"/>
  <c r="AS100" i="8"/>
  <c r="AZ100" i="8"/>
  <c r="AR100" i="8"/>
  <c r="AY100" i="8"/>
  <c r="AQ100" i="8"/>
  <c r="AX100" i="8"/>
  <c r="DI100" i="8" s="1"/>
  <c r="AP100" i="8"/>
  <c r="DF100" i="8" s="1"/>
  <c r="AW100" i="8"/>
  <c r="AO100" i="8"/>
  <c r="AV100" i="8"/>
  <c r="Z96" i="8"/>
  <c r="R96" i="8"/>
  <c r="CY96" i="8" s="1"/>
  <c r="Y96" i="8"/>
  <c r="Q96" i="8"/>
  <c r="X96" i="8"/>
  <c r="P96" i="8"/>
  <c r="V96" i="8"/>
  <c r="DA96" i="8" s="1"/>
  <c r="N96" i="8"/>
  <c r="CX96" i="8" s="1"/>
  <c r="U96" i="8"/>
  <c r="M96" i="8"/>
  <c r="W96" i="8"/>
  <c r="S96" i="8"/>
  <c r="CZ96" i="8" s="1"/>
  <c r="T96" i="8"/>
  <c r="O96" i="8"/>
  <c r="AJ52" i="8"/>
  <c r="DE52" i="8" s="1"/>
  <c r="AB52" i="8"/>
  <c r="DB52" i="8" s="1"/>
  <c r="AI52" i="8"/>
  <c r="AA52" i="8"/>
  <c r="AH52" i="8"/>
  <c r="AG52" i="8"/>
  <c r="DD52" i="8" s="1"/>
  <c r="AF52" i="8"/>
  <c r="DC52" i="8" s="1"/>
  <c r="AM52" i="8"/>
  <c r="AE52" i="8"/>
  <c r="AC52" i="8"/>
  <c r="AL52" i="8"/>
  <c r="AK52" i="8"/>
  <c r="AD52" i="8"/>
  <c r="AN52" i="8"/>
  <c r="AT49" i="8"/>
  <c r="DG49" i="8" s="1"/>
  <c r="BA49" i="8"/>
  <c r="AS49" i="8"/>
  <c r="AZ49" i="8"/>
  <c r="AR49" i="8"/>
  <c r="AY49" i="8"/>
  <c r="AQ49" i="8"/>
  <c r="AX49" i="8"/>
  <c r="DI49" i="8" s="1"/>
  <c r="AP49" i="8"/>
  <c r="DF49" i="8" s="1"/>
  <c r="AW49" i="8"/>
  <c r="AO49" i="8"/>
  <c r="AV49" i="8"/>
  <c r="AU49" i="8"/>
  <c r="DH49" i="8" s="1"/>
  <c r="BB49" i="8"/>
  <c r="U105" i="8"/>
  <c r="M105" i="8"/>
  <c r="T105" i="8"/>
  <c r="S105" i="8"/>
  <c r="CZ105" i="8" s="1"/>
  <c r="Z105" i="8"/>
  <c r="R105" i="8"/>
  <c r="CY105" i="8" s="1"/>
  <c r="Y105" i="8"/>
  <c r="Q105" i="8"/>
  <c r="X105" i="8"/>
  <c r="P105" i="8"/>
  <c r="W105" i="8"/>
  <c r="O105" i="8"/>
  <c r="N105" i="8"/>
  <c r="CX105" i="8" s="1"/>
  <c r="V105" i="8"/>
  <c r="DA105" i="8" s="1"/>
  <c r="BV57" i="8"/>
  <c r="DO57" i="8" s="1"/>
  <c r="CC57" i="8"/>
  <c r="BU57" i="8"/>
  <c r="CB57" i="8"/>
  <c r="BT57" i="8"/>
  <c r="CA57" i="8"/>
  <c r="BS57" i="8"/>
  <c r="BZ57" i="8"/>
  <c r="DQ57" i="8" s="1"/>
  <c r="BR57" i="8"/>
  <c r="DN57" i="8" s="1"/>
  <c r="BY57" i="8"/>
  <c r="BQ57" i="8"/>
  <c r="BX57" i="8"/>
  <c r="BW57" i="8"/>
  <c r="DP57" i="8" s="1"/>
  <c r="CD57" i="8"/>
  <c r="AG100" i="8"/>
  <c r="DD100" i="8" s="1"/>
  <c r="AN100" i="8"/>
  <c r="AF100" i="8"/>
  <c r="DC100" i="8" s="1"/>
  <c r="AM100" i="8"/>
  <c r="AE100" i="8"/>
  <c r="AL100" i="8"/>
  <c r="AD100" i="8"/>
  <c r="AK100" i="8"/>
  <c r="AC100" i="8"/>
  <c r="AJ100" i="8"/>
  <c r="DE100" i="8" s="1"/>
  <c r="AB100" i="8"/>
  <c r="DB100" i="8" s="1"/>
  <c r="AI100" i="8"/>
  <c r="AA100" i="8"/>
  <c r="AH100" i="8"/>
  <c r="CC54" i="8"/>
  <c r="BU54" i="8"/>
  <c r="CB54" i="8"/>
  <c r="BT54" i="8"/>
  <c r="CA54" i="8"/>
  <c r="BS54" i="8"/>
  <c r="BZ54" i="8"/>
  <c r="DQ54" i="8" s="1"/>
  <c r="BR54" i="8"/>
  <c r="DN54" i="8" s="1"/>
  <c r="BY54" i="8"/>
  <c r="BQ54" i="8"/>
  <c r="BX54" i="8"/>
  <c r="BW54" i="8"/>
  <c r="DP54" i="8" s="1"/>
  <c r="BV54" i="8"/>
  <c r="DO54" i="8" s="1"/>
  <c r="CD54" i="8"/>
  <c r="AG104" i="8"/>
  <c r="DD104" i="8" s="1"/>
  <c r="AN104" i="8"/>
  <c r="AF104" i="8"/>
  <c r="DC104" i="8" s="1"/>
  <c r="AM104" i="8"/>
  <c r="AE104" i="8"/>
  <c r="AL104" i="8"/>
  <c r="AD104" i="8"/>
  <c r="AK104" i="8"/>
  <c r="AC104" i="8"/>
  <c r="AJ104" i="8"/>
  <c r="DE104" i="8" s="1"/>
  <c r="AB104" i="8"/>
  <c r="DB104" i="8" s="1"/>
  <c r="AI104" i="8"/>
  <c r="AA104" i="8"/>
  <c r="AH104" i="8"/>
  <c r="S47" i="8"/>
  <c r="CZ47" i="8" s="1"/>
  <c r="N47" i="8"/>
  <c r="CX47" i="8" s="1"/>
  <c r="R47" i="8"/>
  <c r="CY47" i="8" s="1"/>
  <c r="X47" i="8"/>
  <c r="V47" i="8"/>
  <c r="DA47" i="8" s="1"/>
  <c r="Y47" i="8"/>
  <c r="Q47" i="8"/>
  <c r="P47" i="8"/>
  <c r="W47" i="8"/>
  <c r="O47" i="8"/>
  <c r="U47" i="8"/>
  <c r="M47" i="8"/>
  <c r="T47" i="8"/>
  <c r="Z47" i="8"/>
  <c r="CC97" i="8"/>
  <c r="BU97" i="8"/>
  <c r="CB97" i="8"/>
  <c r="BT97" i="8"/>
  <c r="CA97" i="8"/>
  <c r="BS97" i="8"/>
  <c r="BZ97" i="8"/>
  <c r="DQ97" i="8" s="1"/>
  <c r="BR97" i="8"/>
  <c r="DN97" i="8" s="1"/>
  <c r="BY97" i="8"/>
  <c r="BQ97" i="8"/>
  <c r="BX97" i="8"/>
  <c r="BW97" i="8"/>
  <c r="DP97" i="8" s="1"/>
  <c r="CD97" i="8"/>
  <c r="BV97" i="8"/>
  <c r="DO97" i="8" s="1"/>
  <c r="AK55" i="8"/>
  <c r="AC55" i="8"/>
  <c r="AJ55" i="8"/>
  <c r="DE55" i="8" s="1"/>
  <c r="AB55" i="8"/>
  <c r="DB55" i="8" s="1"/>
  <c r="AI55" i="8"/>
  <c r="AA55" i="8"/>
  <c r="AH55" i="8"/>
  <c r="AG55" i="8"/>
  <c r="DD55" i="8" s="1"/>
  <c r="AF55" i="8"/>
  <c r="DC55" i="8" s="1"/>
  <c r="AM55" i="8"/>
  <c r="AL55" i="8"/>
  <c r="AD55" i="8"/>
  <c r="AE55" i="8"/>
  <c r="AN55" i="8"/>
  <c r="V98" i="8"/>
  <c r="DA98" i="8" s="1"/>
  <c r="N98" i="8"/>
  <c r="CX98" i="8" s="1"/>
  <c r="U98" i="8"/>
  <c r="M98" i="8"/>
  <c r="T98" i="8"/>
  <c r="Z98" i="8"/>
  <c r="R98" i="8"/>
  <c r="CY98" i="8" s="1"/>
  <c r="Y98" i="8"/>
  <c r="Q98" i="8"/>
  <c r="S98" i="8"/>
  <c r="CZ98" i="8" s="1"/>
  <c r="P98" i="8"/>
  <c r="O98" i="8"/>
  <c r="X98" i="8"/>
  <c r="W98" i="8"/>
  <c r="BZ53" i="8"/>
  <c r="DQ53" i="8" s="1"/>
  <c r="BR53" i="8"/>
  <c r="DN53" i="8" s="1"/>
  <c r="BY53" i="8"/>
  <c r="BQ53" i="8"/>
  <c r="BX53" i="8"/>
  <c r="BW53" i="8"/>
  <c r="DP53" i="8" s="1"/>
  <c r="BV53" i="8"/>
  <c r="DO53" i="8" s="1"/>
  <c r="CC53" i="8"/>
  <c r="BU53" i="8"/>
  <c r="CB53" i="8"/>
  <c r="BT53" i="8"/>
  <c r="CA53" i="8"/>
  <c r="BS53" i="8"/>
  <c r="CD53" i="8"/>
  <c r="AY56" i="8"/>
  <c r="AQ56" i="8"/>
  <c r="AX56" i="8"/>
  <c r="DI56" i="8" s="1"/>
  <c r="AP56" i="8"/>
  <c r="DF56" i="8" s="1"/>
  <c r="AW56" i="8"/>
  <c r="AO56" i="8"/>
  <c r="AV56" i="8"/>
  <c r="AU56" i="8"/>
  <c r="DH56" i="8" s="1"/>
  <c r="AT56" i="8"/>
  <c r="DG56" i="8" s="1"/>
  <c r="BA56" i="8"/>
  <c r="AS56" i="8"/>
  <c r="AZ56" i="8"/>
  <c r="AR56" i="8"/>
  <c r="BB56" i="8"/>
  <c r="AM107" i="8"/>
  <c r="AE107" i="8"/>
  <c r="AL107" i="8"/>
  <c r="AD107" i="8"/>
  <c r="AK107" i="8"/>
  <c r="AC107" i="8"/>
  <c r="AJ107" i="8"/>
  <c r="DE107" i="8" s="1"/>
  <c r="AB107" i="8"/>
  <c r="DB107" i="8" s="1"/>
  <c r="AI107" i="8"/>
  <c r="AA107" i="8"/>
  <c r="AH107" i="8"/>
  <c r="AG107" i="8"/>
  <c r="DD107" i="8" s="1"/>
  <c r="AF107" i="8"/>
  <c r="DC107" i="8" s="1"/>
  <c r="AN107" i="8"/>
  <c r="AW50" i="8"/>
  <c r="AO50" i="8"/>
  <c r="AV50" i="8"/>
  <c r="AU50" i="8"/>
  <c r="DH50" i="8" s="1"/>
  <c r="AT50" i="8"/>
  <c r="DG50" i="8" s="1"/>
  <c r="BA50" i="8"/>
  <c r="AS50" i="8"/>
  <c r="AZ50" i="8"/>
  <c r="AR50" i="8"/>
  <c r="AY50" i="8"/>
  <c r="AQ50" i="8"/>
  <c r="AP50" i="8"/>
  <c r="DF50" i="8" s="1"/>
  <c r="AX50" i="8"/>
  <c r="DI50" i="8" s="1"/>
  <c r="BB50" i="8"/>
  <c r="CA100" i="8"/>
  <c r="BS100" i="8"/>
  <c r="BZ100" i="8"/>
  <c r="DQ100" i="8" s="1"/>
  <c r="BR100" i="8"/>
  <c r="DN100" i="8" s="1"/>
  <c r="BY100" i="8"/>
  <c r="BQ100" i="8"/>
  <c r="BX100" i="8"/>
  <c r="BW100" i="8"/>
  <c r="DP100" i="8" s="1"/>
  <c r="CD100" i="8"/>
  <c r="BV100" i="8"/>
  <c r="DO100" i="8" s="1"/>
  <c r="CC100" i="8"/>
  <c r="BU100" i="8"/>
  <c r="CB100" i="8"/>
  <c r="BT100" i="8"/>
  <c r="AU96" i="8"/>
  <c r="DH96" i="8" s="1"/>
  <c r="BB96" i="8"/>
  <c r="AT96" i="8"/>
  <c r="DG96" i="8" s="1"/>
  <c r="BA96" i="8"/>
  <c r="AS96" i="8"/>
  <c r="AZ96" i="8"/>
  <c r="AR96" i="8"/>
  <c r="AY96" i="8"/>
  <c r="AQ96" i="8"/>
  <c r="AX96" i="8"/>
  <c r="DI96" i="8" s="1"/>
  <c r="AP96" i="8"/>
  <c r="DF96" i="8" s="1"/>
  <c r="AW96" i="8"/>
  <c r="AO96" i="8"/>
  <c r="AV96" i="8"/>
  <c r="AU52" i="8"/>
  <c r="DH52" i="8" s="1"/>
  <c r="AT52" i="8"/>
  <c r="DG52" i="8" s="1"/>
  <c r="BA52" i="8"/>
  <c r="AS52" i="8"/>
  <c r="AZ52" i="8"/>
  <c r="AR52" i="8"/>
  <c r="AY52" i="8"/>
  <c r="AQ52" i="8"/>
  <c r="AX52" i="8"/>
  <c r="DI52" i="8" s="1"/>
  <c r="AP52" i="8"/>
  <c r="DF52" i="8" s="1"/>
  <c r="AW52" i="8"/>
  <c r="AO52" i="8"/>
  <c r="AV52" i="8"/>
  <c r="BB52" i="8"/>
  <c r="AK102" i="8"/>
  <c r="AC102" i="8"/>
  <c r="AJ102" i="8"/>
  <c r="DE102" i="8" s="1"/>
  <c r="AB102" i="8"/>
  <c r="DB102" i="8" s="1"/>
  <c r="AI102" i="8"/>
  <c r="AA102" i="8"/>
  <c r="AH102" i="8"/>
  <c r="AG102" i="8"/>
  <c r="DD102" i="8" s="1"/>
  <c r="AN102" i="8"/>
  <c r="AF102" i="8"/>
  <c r="DC102" i="8" s="1"/>
  <c r="AM102" i="8"/>
  <c r="AE102" i="8"/>
  <c r="AL102" i="8"/>
  <c r="AD102" i="8"/>
  <c r="X99" i="8"/>
  <c r="P99" i="8"/>
  <c r="W99" i="8"/>
  <c r="O99" i="8"/>
  <c r="V99" i="8"/>
  <c r="DA99" i="8" s="1"/>
  <c r="N99" i="8"/>
  <c r="CX99" i="8" s="1"/>
  <c r="T99" i="8"/>
  <c r="S99" i="8"/>
  <c r="CZ99" i="8" s="1"/>
  <c r="Z99" i="8"/>
  <c r="R99" i="8"/>
  <c r="CY99" i="8" s="1"/>
  <c r="Y99" i="8"/>
  <c r="U99" i="8"/>
  <c r="Q99" i="8"/>
  <c r="M99" i="8"/>
  <c r="W51" i="8"/>
  <c r="V51" i="8"/>
  <c r="DA51" i="8" s="1"/>
  <c r="N51" i="8"/>
  <c r="CX51" i="8" s="1"/>
  <c r="R51" i="8"/>
  <c r="CY51" i="8" s="1"/>
  <c r="U51" i="8"/>
  <c r="M51" i="8"/>
  <c r="T51" i="8"/>
  <c r="S51" i="8"/>
  <c r="CZ51" i="8" s="1"/>
  <c r="Y51" i="8"/>
  <c r="Q51" i="8"/>
  <c r="X51" i="8"/>
  <c r="P51" i="8"/>
  <c r="O51" i="8"/>
  <c r="Z51" i="8"/>
  <c r="M46" i="8"/>
  <c r="W46" i="8"/>
  <c r="O46" i="8"/>
  <c r="V46" i="8"/>
  <c r="DA46" i="8" s="1"/>
  <c r="N46" i="8"/>
  <c r="CX46" i="8" s="1"/>
  <c r="S46" i="8"/>
  <c r="CZ46" i="8" s="1"/>
  <c r="U46" i="8"/>
  <c r="T46" i="8"/>
  <c r="R46" i="8"/>
  <c r="CY46" i="8" s="1"/>
  <c r="X46" i="8"/>
  <c r="Y46" i="8"/>
  <c r="Q46" i="8"/>
  <c r="P46" i="8"/>
  <c r="Z46" i="8"/>
  <c r="G306" i="8"/>
  <c r="X54" i="8"/>
  <c r="P54" i="8"/>
  <c r="W54" i="8"/>
  <c r="O54" i="8"/>
  <c r="V54" i="8"/>
  <c r="DA54" i="8" s="1"/>
  <c r="N54" i="8"/>
  <c r="CX54" i="8" s="1"/>
  <c r="S54" i="8"/>
  <c r="CZ54" i="8" s="1"/>
  <c r="Y54" i="8"/>
  <c r="U54" i="8"/>
  <c r="T54" i="8"/>
  <c r="R54" i="8"/>
  <c r="CY54" i="8" s="1"/>
  <c r="Q54" i="8"/>
  <c r="M54" i="8"/>
  <c r="Z54" i="8"/>
  <c r="BM104" i="8"/>
  <c r="BE104" i="8"/>
  <c r="BL104" i="8"/>
  <c r="DM104" i="8" s="1"/>
  <c r="BD104" i="8"/>
  <c r="DJ104" i="8" s="1"/>
  <c r="BK104" i="8"/>
  <c r="BC104" i="8"/>
  <c r="BJ104" i="8"/>
  <c r="BI104" i="8"/>
  <c r="DL104" i="8" s="1"/>
  <c r="BP104" i="8"/>
  <c r="BH104" i="8"/>
  <c r="DK104" i="8" s="1"/>
  <c r="BO104" i="8"/>
  <c r="BG104" i="8"/>
  <c r="BN104" i="8"/>
  <c r="BF104" i="8"/>
  <c r="T101" i="8"/>
  <c r="S101" i="8"/>
  <c r="CZ101" i="8" s="1"/>
  <c r="Z101" i="8"/>
  <c r="R101" i="8"/>
  <c r="CY101" i="8" s="1"/>
  <c r="X101" i="8"/>
  <c r="P101" i="8"/>
  <c r="W101" i="8"/>
  <c r="O101" i="8"/>
  <c r="U101" i="8"/>
  <c r="Q101" i="8"/>
  <c r="N101" i="8"/>
  <c r="CX101" i="8" s="1"/>
  <c r="M101" i="8"/>
  <c r="Y101" i="8"/>
  <c r="V101" i="8"/>
  <c r="DA101" i="8" s="1"/>
  <c r="BN47" i="8"/>
  <c r="BF47" i="8"/>
  <c r="BM47" i="8"/>
  <c r="BE47" i="8"/>
  <c r="BL47" i="8"/>
  <c r="DM47" i="8" s="1"/>
  <c r="BD47" i="8"/>
  <c r="DJ47" i="8" s="1"/>
  <c r="BK47" i="8"/>
  <c r="BC47" i="8"/>
  <c r="BJ47" i="8"/>
  <c r="BI47" i="8"/>
  <c r="DL47" i="8" s="1"/>
  <c r="BH47" i="8"/>
  <c r="DK47" i="8" s="1"/>
  <c r="BO47" i="8"/>
  <c r="BG47" i="8"/>
  <c r="BP47" i="8"/>
  <c r="BN97" i="8"/>
  <c r="BF97" i="8"/>
  <c r="BM97" i="8"/>
  <c r="BE97" i="8"/>
  <c r="BL97" i="8"/>
  <c r="DM97" i="8" s="1"/>
  <c r="BD97" i="8"/>
  <c r="DJ97" i="8" s="1"/>
  <c r="BJ97" i="8"/>
  <c r="BI97" i="8"/>
  <c r="DL97" i="8" s="1"/>
  <c r="BG97" i="8"/>
  <c r="BC97" i="8"/>
  <c r="BP97" i="8"/>
  <c r="BO97" i="8"/>
  <c r="BK97" i="8"/>
  <c r="BH97" i="8"/>
  <c r="DK97" i="8" s="1"/>
  <c r="BN55" i="8"/>
  <c r="BF55" i="8"/>
  <c r="BM55" i="8"/>
  <c r="BE55" i="8"/>
  <c r="BL55" i="8"/>
  <c r="DM55" i="8" s="1"/>
  <c r="BD55" i="8"/>
  <c r="DJ55" i="8" s="1"/>
  <c r="BK55" i="8"/>
  <c r="BC55" i="8"/>
  <c r="BJ55" i="8"/>
  <c r="BI55" i="8"/>
  <c r="DL55" i="8" s="1"/>
  <c r="BH55" i="8"/>
  <c r="DK55" i="8" s="1"/>
  <c r="BO55" i="8"/>
  <c r="BG55" i="8"/>
  <c r="BP55" i="8"/>
  <c r="V48" i="8"/>
  <c r="DA48" i="8" s="1"/>
  <c r="U48" i="8"/>
  <c r="M48" i="8"/>
  <c r="T48" i="8"/>
  <c r="S48" i="8"/>
  <c r="CZ48" i="8" s="1"/>
  <c r="R48" i="8"/>
  <c r="CY48" i="8" s="1"/>
  <c r="Q48" i="8"/>
  <c r="X48" i="8"/>
  <c r="P48" i="8"/>
  <c r="W48" i="8"/>
  <c r="O48" i="8"/>
  <c r="N48" i="8"/>
  <c r="CX48" i="8" s="1"/>
  <c r="Y48" i="8"/>
  <c r="Z48" i="8"/>
  <c r="BP98" i="8"/>
  <c r="BH98" i="8"/>
  <c r="DK98" i="8" s="1"/>
  <c r="BO98" i="8"/>
  <c r="BG98" i="8"/>
  <c r="BN98" i="8"/>
  <c r="BF98" i="8"/>
  <c r="BL98" i="8"/>
  <c r="DM98" i="8" s="1"/>
  <c r="BD98" i="8"/>
  <c r="DJ98" i="8" s="1"/>
  <c r="BK98" i="8"/>
  <c r="BC98" i="8"/>
  <c r="BM98" i="8"/>
  <c r="BJ98" i="8"/>
  <c r="BI98" i="8"/>
  <c r="DL98" i="8" s="1"/>
  <c r="BE98" i="8"/>
  <c r="T53" i="8"/>
  <c r="X53" i="8"/>
  <c r="W53" i="8"/>
  <c r="N53" i="8"/>
  <c r="CX53" i="8" s="1"/>
  <c r="V53" i="8"/>
  <c r="DA53" i="8" s="1"/>
  <c r="M53" i="8"/>
  <c r="U53" i="8"/>
  <c r="Q53" i="8"/>
  <c r="S53" i="8"/>
  <c r="CZ53" i="8" s="1"/>
  <c r="R53" i="8"/>
  <c r="CY53" i="8" s="1"/>
  <c r="P53" i="8"/>
  <c r="Y53" i="8"/>
  <c r="O53" i="8"/>
  <c r="Z53" i="8"/>
  <c r="CA56" i="8"/>
  <c r="BS56" i="8"/>
  <c r="BZ56" i="8"/>
  <c r="DQ56" i="8" s="1"/>
  <c r="BR56" i="8"/>
  <c r="DN56" i="8" s="1"/>
  <c r="BY56" i="8"/>
  <c r="BQ56" i="8"/>
  <c r="BX56" i="8"/>
  <c r="BW56" i="8"/>
  <c r="DP56" i="8" s="1"/>
  <c r="BV56" i="8"/>
  <c r="DO56" i="8" s="1"/>
  <c r="CC56" i="8"/>
  <c r="BU56" i="8"/>
  <c r="CB56" i="8"/>
  <c r="BT56" i="8"/>
  <c r="CD56" i="8"/>
  <c r="BL57" i="8"/>
  <c r="DM57" i="8" s="1"/>
  <c r="BD57" i="8"/>
  <c r="DJ57" i="8" s="1"/>
  <c r="BK57" i="8"/>
  <c r="BC57" i="8"/>
  <c r="BJ57" i="8"/>
  <c r="BI57" i="8"/>
  <c r="DL57" i="8" s="1"/>
  <c r="BH57" i="8"/>
  <c r="DK57" i="8" s="1"/>
  <c r="BO57" i="8"/>
  <c r="BG57" i="8"/>
  <c r="BN57" i="8"/>
  <c r="BF57" i="8"/>
  <c r="BM57" i="8"/>
  <c r="BE57" i="8"/>
  <c r="BP57" i="8"/>
  <c r="BK107" i="8"/>
  <c r="BC107" i="8"/>
  <c r="BJ107" i="8"/>
  <c r="BI107" i="8"/>
  <c r="DL107" i="8" s="1"/>
  <c r="BP107" i="8"/>
  <c r="BH107" i="8"/>
  <c r="DK107" i="8" s="1"/>
  <c r="BO107" i="8"/>
  <c r="BG107" i="8"/>
  <c r="BN107" i="8"/>
  <c r="BF107" i="8"/>
  <c r="BM107" i="8"/>
  <c r="BE107" i="8"/>
  <c r="BL107" i="8"/>
  <c r="DM107" i="8" s="1"/>
  <c r="BD107" i="8"/>
  <c r="DJ107" i="8" s="1"/>
  <c r="AL50" i="8"/>
  <c r="AD50" i="8"/>
  <c r="AK50" i="8"/>
  <c r="AC50" i="8"/>
  <c r="AJ50" i="8"/>
  <c r="DE50" i="8" s="1"/>
  <c r="AB50" i="8"/>
  <c r="DB50" i="8" s="1"/>
  <c r="AI50" i="8"/>
  <c r="AA50" i="8"/>
  <c r="AH50" i="8"/>
  <c r="AG50" i="8"/>
  <c r="DD50" i="8" s="1"/>
  <c r="AF50" i="8"/>
  <c r="DC50" i="8" s="1"/>
  <c r="AM50" i="8"/>
  <c r="AE50" i="8"/>
  <c r="AN50" i="8"/>
  <c r="CA96" i="8"/>
  <c r="BS96" i="8"/>
  <c r="BZ96" i="8"/>
  <c r="DQ96" i="8" s="1"/>
  <c r="BR96" i="8"/>
  <c r="DN96" i="8" s="1"/>
  <c r="BY96" i="8"/>
  <c r="BQ96" i="8"/>
  <c r="BX96" i="8"/>
  <c r="BW96" i="8"/>
  <c r="DP96" i="8" s="1"/>
  <c r="CD96" i="8"/>
  <c r="BV96" i="8"/>
  <c r="DO96" i="8" s="1"/>
  <c r="CC96" i="8"/>
  <c r="BU96" i="8"/>
  <c r="CB96" i="8"/>
  <c r="BT96" i="8"/>
  <c r="BW52" i="8"/>
  <c r="DP52" i="8" s="1"/>
  <c r="BV52" i="8"/>
  <c r="DO52" i="8" s="1"/>
  <c r="CC52" i="8"/>
  <c r="BU52" i="8"/>
  <c r="CB52" i="8"/>
  <c r="BT52" i="8"/>
  <c r="CA52" i="8"/>
  <c r="BS52" i="8"/>
  <c r="BZ52" i="8"/>
  <c r="DQ52" i="8" s="1"/>
  <c r="BR52" i="8"/>
  <c r="DN52" i="8" s="1"/>
  <c r="BY52" i="8"/>
  <c r="BQ52" i="8"/>
  <c r="BX52" i="8"/>
  <c r="CD52" i="8"/>
  <c r="BI102" i="8"/>
  <c r="DL102" i="8" s="1"/>
  <c r="BP102" i="8"/>
  <c r="BH102" i="8"/>
  <c r="DK102" i="8" s="1"/>
  <c r="BO102" i="8"/>
  <c r="BG102" i="8"/>
  <c r="BN102" i="8"/>
  <c r="BF102" i="8"/>
  <c r="BM102" i="8"/>
  <c r="BE102" i="8"/>
  <c r="BL102" i="8"/>
  <c r="DM102" i="8" s="1"/>
  <c r="BD102" i="8"/>
  <c r="DJ102" i="8" s="1"/>
  <c r="BK102" i="8"/>
  <c r="BC102" i="8"/>
  <c r="BJ102" i="8"/>
  <c r="BJ99" i="8"/>
  <c r="BI99" i="8"/>
  <c r="DL99" i="8" s="1"/>
  <c r="BP99" i="8"/>
  <c r="BH99" i="8"/>
  <c r="DK99" i="8" s="1"/>
  <c r="BO99" i="8"/>
  <c r="BN99" i="8"/>
  <c r="BF99" i="8"/>
  <c r="BM99" i="8"/>
  <c r="BE99" i="8"/>
  <c r="BL99" i="8"/>
  <c r="DM99" i="8" s="1"/>
  <c r="BK99" i="8"/>
  <c r="BG99" i="8"/>
  <c r="BD99" i="8"/>
  <c r="DJ99" i="8" s="1"/>
  <c r="BC99" i="8"/>
  <c r="BO101" i="8"/>
  <c r="BG101" i="8"/>
  <c r="BN101" i="8"/>
  <c r="BF101" i="8"/>
  <c r="BM101" i="8"/>
  <c r="BE101" i="8"/>
  <c r="BL101" i="8"/>
  <c r="DM101" i="8" s="1"/>
  <c r="BD101" i="8"/>
  <c r="DJ101" i="8" s="1"/>
  <c r="BK101" i="8"/>
  <c r="BC101" i="8"/>
  <c r="BJ101" i="8"/>
  <c r="BI101" i="8"/>
  <c r="DL101" i="8" s="1"/>
  <c r="BH101" i="8"/>
  <c r="DK101" i="8" s="1"/>
  <c r="BP101" i="8"/>
  <c r="AM103" i="8"/>
  <c r="AE103" i="8"/>
  <c r="AL103" i="8"/>
  <c r="AD103" i="8"/>
  <c r="AK103" i="8"/>
  <c r="AC103" i="8"/>
  <c r="AJ103" i="8"/>
  <c r="DE103" i="8" s="1"/>
  <c r="AB103" i="8"/>
  <c r="DB103" i="8" s="1"/>
  <c r="AI103" i="8"/>
  <c r="AA103" i="8"/>
  <c r="AH103" i="8"/>
  <c r="AG103" i="8"/>
  <c r="DD103" i="8" s="1"/>
  <c r="AF103" i="8"/>
  <c r="DC103" i="8" s="1"/>
  <c r="AN103" i="8"/>
  <c r="BV49" i="8"/>
  <c r="DO49" i="8" s="1"/>
  <c r="CC49" i="8"/>
  <c r="BU49" i="8"/>
  <c r="CB49" i="8"/>
  <c r="BT49" i="8"/>
  <c r="CA49" i="8"/>
  <c r="BS49" i="8"/>
  <c r="BZ49" i="8"/>
  <c r="DQ49" i="8" s="1"/>
  <c r="BR49" i="8"/>
  <c r="DN49" i="8" s="1"/>
  <c r="BY49" i="8"/>
  <c r="BQ49" i="8"/>
  <c r="BX49" i="8"/>
  <c r="BW49" i="8"/>
  <c r="DP49" i="8" s="1"/>
  <c r="CD49" i="8"/>
  <c r="Q300" i="8"/>
  <c r="BA54" i="8"/>
  <c r="AS54" i="8"/>
  <c r="AZ54" i="8"/>
  <c r="AR54" i="8"/>
  <c r="AY54" i="8"/>
  <c r="AQ54" i="8"/>
  <c r="AX54" i="8"/>
  <c r="DI54" i="8" s="1"/>
  <c r="AP54" i="8"/>
  <c r="DF54" i="8" s="1"/>
  <c r="AW54" i="8"/>
  <c r="AO54" i="8"/>
  <c r="AV54" i="8"/>
  <c r="AU54" i="8"/>
  <c r="DH54" i="8" s="1"/>
  <c r="AT54" i="8"/>
  <c r="DG54" i="8" s="1"/>
  <c r="BB54" i="8"/>
  <c r="AI101" i="8"/>
  <c r="AA101" i="8"/>
  <c r="AH101" i="8"/>
  <c r="AG101" i="8"/>
  <c r="DD101" i="8" s="1"/>
  <c r="AN101" i="8"/>
  <c r="AF101" i="8"/>
  <c r="DC101" i="8" s="1"/>
  <c r="AM101" i="8"/>
  <c r="AE101" i="8"/>
  <c r="AL101" i="8"/>
  <c r="AD101" i="8"/>
  <c r="AK101" i="8"/>
  <c r="AC101" i="8"/>
  <c r="AJ101" i="8"/>
  <c r="DE101" i="8" s="1"/>
  <c r="AB101" i="8"/>
  <c r="DB101" i="8" s="1"/>
  <c r="AF48" i="8"/>
  <c r="DC48" i="8" s="1"/>
  <c r="AM48" i="8"/>
  <c r="AE48" i="8"/>
  <c r="AL48" i="8"/>
  <c r="AD48" i="8"/>
  <c r="AK48" i="8"/>
  <c r="AC48" i="8"/>
  <c r="AJ48" i="8"/>
  <c r="DE48" i="8" s="1"/>
  <c r="AB48" i="8"/>
  <c r="DB48" i="8" s="1"/>
  <c r="AI48" i="8"/>
  <c r="AA48" i="8"/>
  <c r="AH48" i="8"/>
  <c r="AG48" i="8"/>
  <c r="DD48" i="8" s="1"/>
  <c r="AN48" i="8"/>
  <c r="AK98" i="8"/>
  <c r="AC98" i="8"/>
  <c r="AJ98" i="8"/>
  <c r="DE98" i="8" s="1"/>
  <c r="AB98" i="8"/>
  <c r="DB98" i="8" s="1"/>
  <c r="AI98" i="8"/>
  <c r="AA98" i="8"/>
  <c r="AH98" i="8"/>
  <c r="AG98" i="8"/>
  <c r="DD98" i="8" s="1"/>
  <c r="AN98" i="8"/>
  <c r="AF98" i="8"/>
  <c r="DC98" i="8" s="1"/>
  <c r="AM98" i="8"/>
  <c r="AE98" i="8"/>
  <c r="AL98" i="8"/>
  <c r="AD98" i="8"/>
  <c r="AM53" i="8"/>
  <c r="AE53" i="8"/>
  <c r="AL53" i="8"/>
  <c r="AD53" i="8"/>
  <c r="AK53" i="8"/>
  <c r="AC53" i="8"/>
  <c r="AJ53" i="8"/>
  <c r="DE53" i="8" s="1"/>
  <c r="AB53" i="8"/>
  <c r="DB53" i="8" s="1"/>
  <c r="AI53" i="8"/>
  <c r="AA53" i="8"/>
  <c r="AH53" i="8"/>
  <c r="AG53" i="8"/>
  <c r="DD53" i="8" s="1"/>
  <c r="AF53" i="8"/>
  <c r="DC53" i="8" s="1"/>
  <c r="AN53" i="8"/>
  <c r="Y107" i="8"/>
  <c r="Q107" i="8"/>
  <c r="X107" i="8"/>
  <c r="P107" i="8"/>
  <c r="W107" i="8"/>
  <c r="O107" i="8"/>
  <c r="V107" i="8"/>
  <c r="DA107" i="8" s="1"/>
  <c r="N107" i="8"/>
  <c r="CX107" i="8" s="1"/>
  <c r="U107" i="8"/>
  <c r="M107" i="8"/>
  <c r="T107" i="8"/>
  <c r="S107" i="8"/>
  <c r="CZ107" i="8" s="1"/>
  <c r="Z107" i="8"/>
  <c r="R107" i="8"/>
  <c r="CY107" i="8" s="1"/>
  <c r="BO50" i="8"/>
  <c r="BG50" i="8"/>
  <c r="BN50" i="8"/>
  <c r="BF50" i="8"/>
  <c r="BM50" i="8"/>
  <c r="BE50" i="8"/>
  <c r="BL50" i="8"/>
  <c r="DM50" i="8" s="1"/>
  <c r="BD50" i="8"/>
  <c r="DJ50" i="8" s="1"/>
  <c r="BK50" i="8"/>
  <c r="BC50" i="8"/>
  <c r="BJ50" i="8"/>
  <c r="BI50" i="8"/>
  <c r="DL50" i="8" s="1"/>
  <c r="BH50" i="8"/>
  <c r="DK50" i="8" s="1"/>
  <c r="BP50" i="8"/>
  <c r="CC46" i="8"/>
  <c r="BU46" i="8"/>
  <c r="CB46" i="8"/>
  <c r="BT46" i="8"/>
  <c r="CA46" i="8"/>
  <c r="BS46" i="8"/>
  <c r="BZ46" i="8"/>
  <c r="DQ46" i="8" s="1"/>
  <c r="BR46" i="8"/>
  <c r="DN46" i="8" s="1"/>
  <c r="BY46" i="8"/>
  <c r="BQ46" i="8"/>
  <c r="BX46" i="8"/>
  <c r="BW46" i="8"/>
  <c r="DP46" i="8" s="1"/>
  <c r="BV46" i="8"/>
  <c r="DO46" i="8" s="1"/>
  <c r="CD46" i="8"/>
  <c r="AG96" i="8"/>
  <c r="DD96" i="8" s="1"/>
  <c r="AN96" i="8"/>
  <c r="AF96" i="8"/>
  <c r="DC96" i="8" s="1"/>
  <c r="AM96" i="8"/>
  <c r="AE96" i="8"/>
  <c r="AL96" i="8"/>
  <c r="AD96" i="8"/>
  <c r="AK96" i="8"/>
  <c r="AC96" i="8"/>
  <c r="AJ96" i="8"/>
  <c r="DE96" i="8" s="1"/>
  <c r="AB96" i="8"/>
  <c r="DB96" i="8" s="1"/>
  <c r="AI96" i="8"/>
  <c r="AA96" i="8"/>
  <c r="AH96" i="8"/>
  <c r="BL49" i="8"/>
  <c r="DM49" i="8" s="1"/>
  <c r="BD49" i="8"/>
  <c r="DJ49" i="8" s="1"/>
  <c r="BK49" i="8"/>
  <c r="BC49" i="8"/>
  <c r="BJ49" i="8"/>
  <c r="BI49" i="8"/>
  <c r="DL49" i="8" s="1"/>
  <c r="BH49" i="8"/>
  <c r="DK49" i="8" s="1"/>
  <c r="BO49" i="8"/>
  <c r="BG49" i="8"/>
  <c r="BN49" i="8"/>
  <c r="BF49" i="8"/>
  <c r="BM49" i="8"/>
  <c r="BE49" i="8"/>
  <c r="BP49" i="8"/>
  <c r="BA99" i="8"/>
  <c r="AS99" i="8"/>
  <c r="AZ99" i="8"/>
  <c r="AR99" i="8"/>
  <c r="AY99" i="8"/>
  <c r="AQ99" i="8"/>
  <c r="AX99" i="8"/>
  <c r="DI99" i="8" s="1"/>
  <c r="AP99" i="8"/>
  <c r="DF99" i="8" s="1"/>
  <c r="AW99" i="8"/>
  <c r="AO99" i="8"/>
  <c r="AV99" i="8"/>
  <c r="AU99" i="8"/>
  <c r="DH99" i="8" s="1"/>
  <c r="BB99" i="8"/>
  <c r="AT99" i="8"/>
  <c r="DG99" i="8" s="1"/>
  <c r="O300" i="8"/>
  <c r="I286" i="8"/>
  <c r="J286" i="8" s="1"/>
  <c r="S282" i="8"/>
  <c r="T282" i="8" s="1"/>
  <c r="S274" i="8"/>
  <c r="T274" i="8" s="1"/>
  <c r="O306" i="8"/>
  <c r="S285" i="8"/>
  <c r="T285" i="8" s="1"/>
  <c r="Q307" i="8"/>
  <c r="I279" i="8"/>
  <c r="J279" i="8" s="1"/>
  <c r="I273" i="8"/>
  <c r="J273" i="8" s="1"/>
  <c r="E305" i="8"/>
  <c r="I283" i="8"/>
  <c r="J283" i="8" s="1"/>
  <c r="F306" i="8"/>
  <c r="F298" i="8"/>
  <c r="S283" i="8"/>
  <c r="T283" i="8" s="1"/>
  <c r="O305" i="8"/>
  <c r="E301" i="8"/>
  <c r="I277" i="8"/>
  <c r="J277" i="8" s="1"/>
  <c r="E299" i="8"/>
  <c r="S288" i="8"/>
  <c r="T288" i="8" s="1"/>
  <c r="S280" i="8"/>
  <c r="T280" i="8" s="1"/>
  <c r="S272" i="8"/>
  <c r="T272" i="8" s="1"/>
  <c r="F305" i="8"/>
  <c r="S281" i="8"/>
  <c r="T281" i="8" s="1"/>
  <c r="O304" i="8"/>
  <c r="E297" i="8"/>
  <c r="I269" i="8"/>
  <c r="J269" i="8" s="1"/>
  <c r="I284" i="8"/>
  <c r="J284" i="8" s="1"/>
  <c r="I272" i="8"/>
  <c r="J272" i="8" s="1"/>
  <c r="E303" i="8"/>
  <c r="S287" i="8"/>
  <c r="T287" i="8" s="1"/>
  <c r="O307" i="8"/>
  <c r="G298" i="8"/>
  <c r="S279" i="8"/>
  <c r="T279" i="8" s="1"/>
  <c r="O303" i="8"/>
  <c r="I271" i="8"/>
  <c r="J271" i="8" s="1"/>
  <c r="S286" i="8"/>
  <c r="T286" i="8" s="1"/>
  <c r="S278" i="8"/>
  <c r="T278" i="8" s="1"/>
  <c r="S270" i="8"/>
  <c r="T270" i="8" s="1"/>
  <c r="O301" i="8"/>
  <c r="S277" i="8"/>
  <c r="T277" i="8" s="1"/>
  <c r="I288" i="8"/>
  <c r="J288" i="8" s="1"/>
  <c r="I282" i="8"/>
  <c r="J282" i="8" s="1"/>
  <c r="I276" i="8"/>
  <c r="J276" i="8" s="1"/>
  <c r="E304" i="8"/>
  <c r="E306" i="8"/>
  <c r="E298" i="8"/>
  <c r="S273" i="8"/>
  <c r="T273" i="8" s="1"/>
  <c r="O299" i="8"/>
  <c r="I287" i="8"/>
  <c r="J287" i="8" s="1"/>
  <c r="I281" i="8"/>
  <c r="J281" i="8" s="1"/>
  <c r="I275" i="8"/>
  <c r="J275" i="8" s="1"/>
  <c r="E300" i="8"/>
  <c r="G64" i="4"/>
  <c r="T64" i="4"/>
  <c r="H64" i="4"/>
  <c r="F65" i="4"/>
  <c r="AE65" i="4" s="1"/>
  <c r="AO65" i="4" s="1"/>
  <c r="T65" i="4"/>
  <c r="F64" i="4"/>
  <c r="G65" i="4"/>
  <c r="I63" i="4"/>
  <c r="AE63" i="4" s="1"/>
  <c r="AO63" i="4" s="1"/>
  <c r="H65" i="4"/>
  <c r="I64" i="4"/>
  <c r="N64" i="4"/>
  <c r="AF64" i="4" s="1"/>
  <c r="AP64" i="4" s="1"/>
  <c r="O65" i="1"/>
  <c r="R65" i="1"/>
  <c r="Q65" i="1"/>
  <c r="S65" i="1" s="1"/>
  <c r="T65" i="1" s="1"/>
  <c r="P65" i="1"/>
  <c r="R64" i="1"/>
  <c r="Q64" i="1"/>
  <c r="P64" i="1"/>
  <c r="O64" i="1"/>
  <c r="R63" i="1"/>
  <c r="Q63" i="1"/>
  <c r="P63" i="1"/>
  <c r="O63" i="1"/>
  <c r="R62" i="1"/>
  <c r="Q62" i="1"/>
  <c r="P62" i="1"/>
  <c r="O62" i="1"/>
  <c r="S62" i="1" s="1"/>
  <c r="T62" i="1" s="1"/>
  <c r="R61" i="1"/>
  <c r="Q61" i="1"/>
  <c r="P61" i="1"/>
  <c r="O61" i="1"/>
  <c r="R60" i="1"/>
  <c r="Q60" i="1"/>
  <c r="P60" i="1"/>
  <c r="O60" i="1"/>
  <c r="R59" i="1"/>
  <c r="Q59" i="1"/>
  <c r="P59" i="1"/>
  <c r="O59" i="1"/>
  <c r="R58" i="1"/>
  <c r="Q58" i="1"/>
  <c r="Q81" i="1" s="1"/>
  <c r="P58" i="1"/>
  <c r="O58" i="1"/>
  <c r="R57" i="1"/>
  <c r="Q57" i="1"/>
  <c r="P57" i="1"/>
  <c r="O57" i="1"/>
  <c r="R56" i="1"/>
  <c r="Q56" i="1"/>
  <c r="P56" i="1"/>
  <c r="O56" i="1"/>
  <c r="O80" i="1" s="1"/>
  <c r="R55" i="1"/>
  <c r="Q55" i="1"/>
  <c r="P55" i="1"/>
  <c r="O55" i="1"/>
  <c r="R54" i="1"/>
  <c r="Q54" i="1"/>
  <c r="P54" i="1"/>
  <c r="O54" i="1"/>
  <c r="R53" i="1"/>
  <c r="Q53" i="1"/>
  <c r="P53" i="1"/>
  <c r="O53" i="1"/>
  <c r="R52" i="1"/>
  <c r="Q52" i="1"/>
  <c r="Q77" i="1" s="1"/>
  <c r="P52" i="1"/>
  <c r="O52" i="1"/>
  <c r="R51" i="1"/>
  <c r="Q51" i="1"/>
  <c r="P51" i="1"/>
  <c r="O51" i="1"/>
  <c r="R50" i="1"/>
  <c r="Q50" i="1"/>
  <c r="Q76" i="1" s="1"/>
  <c r="P50" i="1"/>
  <c r="O50" i="1"/>
  <c r="O76" i="1" s="1"/>
  <c r="R49" i="1"/>
  <c r="Q49" i="1"/>
  <c r="P49" i="1"/>
  <c r="O49" i="1"/>
  <c r="R48" i="1"/>
  <c r="Q48" i="1"/>
  <c r="P48" i="1"/>
  <c r="O48" i="1"/>
  <c r="R47" i="1"/>
  <c r="Q47" i="1"/>
  <c r="P47" i="1"/>
  <c r="O47" i="1"/>
  <c r="R46" i="1"/>
  <c r="Q46" i="1"/>
  <c r="Q74" i="1" s="1"/>
  <c r="P46" i="1"/>
  <c r="O46" i="1"/>
  <c r="H47" i="1"/>
  <c r="G47" i="1"/>
  <c r="F47" i="1"/>
  <c r="E47" i="1"/>
  <c r="H46" i="1"/>
  <c r="G46" i="1"/>
  <c r="G74" i="1" s="1"/>
  <c r="F46" i="1"/>
  <c r="E46" i="1"/>
  <c r="I46" i="1" s="1"/>
  <c r="J46" i="1" s="1"/>
  <c r="H61" i="1"/>
  <c r="G61" i="1"/>
  <c r="F61" i="1"/>
  <c r="E61" i="1"/>
  <c r="H60" i="1"/>
  <c r="G60" i="1"/>
  <c r="F60" i="1"/>
  <c r="E60" i="1"/>
  <c r="H65" i="1"/>
  <c r="G65" i="1"/>
  <c r="F65" i="1"/>
  <c r="E65" i="1"/>
  <c r="H64" i="1"/>
  <c r="G64" i="1"/>
  <c r="F64" i="1"/>
  <c r="E64" i="1"/>
  <c r="H63" i="1"/>
  <c r="G63" i="1"/>
  <c r="F63" i="1"/>
  <c r="E63" i="1"/>
  <c r="H62" i="1"/>
  <c r="G62" i="1"/>
  <c r="F62" i="1"/>
  <c r="F83" i="1" s="1"/>
  <c r="E62" i="1"/>
  <c r="E83" i="1" s="1"/>
  <c r="H59" i="1"/>
  <c r="G59" i="1"/>
  <c r="F59" i="1"/>
  <c r="E59" i="1"/>
  <c r="H58" i="1"/>
  <c r="G58" i="1"/>
  <c r="F58" i="1"/>
  <c r="E58" i="1"/>
  <c r="H57" i="1"/>
  <c r="G57" i="1"/>
  <c r="F57" i="1"/>
  <c r="E57" i="1"/>
  <c r="H56" i="1"/>
  <c r="G56" i="1"/>
  <c r="F56" i="1"/>
  <c r="E56" i="1"/>
  <c r="H55" i="1"/>
  <c r="G55" i="1"/>
  <c r="F55" i="1"/>
  <c r="E55" i="1"/>
  <c r="H54" i="1"/>
  <c r="G54" i="1"/>
  <c r="F54" i="1"/>
  <c r="F78" i="1" s="1"/>
  <c r="E54" i="1"/>
  <c r="E78" i="1" s="1"/>
  <c r="H53" i="1"/>
  <c r="G53" i="1"/>
  <c r="F53" i="1"/>
  <c r="E53" i="1"/>
  <c r="H52" i="1"/>
  <c r="G52" i="1"/>
  <c r="F52" i="1"/>
  <c r="E52" i="1"/>
  <c r="H51" i="1"/>
  <c r="G51" i="1"/>
  <c r="F51" i="1"/>
  <c r="E51" i="1"/>
  <c r="H50" i="1"/>
  <c r="G50" i="1"/>
  <c r="F50" i="1"/>
  <c r="E50" i="1"/>
  <c r="H49" i="1"/>
  <c r="G49" i="1"/>
  <c r="F49" i="1"/>
  <c r="E49" i="1"/>
  <c r="H48" i="1"/>
  <c r="G48" i="1"/>
  <c r="F48" i="1"/>
  <c r="F75" i="1" s="1"/>
  <c r="E48" i="1"/>
  <c r="E75" i="1" s="1"/>
  <c r="S21" i="1"/>
  <c r="AE84" i="4" l="1"/>
  <c r="AO84" i="4" s="1"/>
  <c r="AE85" i="4"/>
  <c r="AO85" i="4" s="1"/>
  <c r="AE66" i="4"/>
  <c r="AO66" i="4" s="1"/>
  <c r="AF92" i="4"/>
  <c r="AP92" i="4" s="1"/>
  <c r="AG83" i="4"/>
  <c r="AQ83" i="4" s="1"/>
  <c r="EQ108" i="12"/>
  <c r="C2" i="30" s="1"/>
  <c r="FA88" i="12"/>
  <c r="AE91" i="4"/>
  <c r="AO91" i="4" s="1"/>
  <c r="AF81" i="4"/>
  <c r="AP81" i="4" s="1"/>
  <c r="ER79" i="14"/>
  <c r="EE87" i="14"/>
  <c r="AE81" i="4"/>
  <c r="AO81" i="4" s="1"/>
  <c r="FA62" i="12"/>
  <c r="EQ82" i="12"/>
  <c r="C2" i="29" s="1"/>
  <c r="AG89" i="4"/>
  <c r="AQ89" i="4" s="1"/>
  <c r="Q80" i="1"/>
  <c r="AE74" i="4"/>
  <c r="AO74" i="4" s="1"/>
  <c r="AG73" i="4"/>
  <c r="AQ73" i="4" s="1"/>
  <c r="AF71" i="4"/>
  <c r="AP71" i="4" s="1"/>
  <c r="AG69" i="4"/>
  <c r="AQ69" i="4" s="1"/>
  <c r="AF73" i="4"/>
  <c r="AP73" i="4" s="1"/>
  <c r="ER17" i="15"/>
  <c r="EE25" i="15"/>
  <c r="AE70" i="4"/>
  <c r="AO70" i="4" s="1"/>
  <c r="AG68" i="4"/>
  <c r="AQ68" i="4" s="1"/>
  <c r="AE67" i="4"/>
  <c r="AO67" i="4" s="1"/>
  <c r="EF62" i="12"/>
  <c r="E84" i="1"/>
  <c r="S52" i="1"/>
  <c r="T52" i="1" s="1"/>
  <c r="E76" i="1"/>
  <c r="E80" i="1"/>
  <c r="O74" i="1"/>
  <c r="S58" i="1"/>
  <c r="T58" i="1" s="1"/>
  <c r="S64" i="1"/>
  <c r="T64" i="1" s="1"/>
  <c r="F76" i="1"/>
  <c r="F80" i="1"/>
  <c r="F84" i="1"/>
  <c r="AG65" i="4"/>
  <c r="AQ65" i="4" s="1"/>
  <c r="AE69" i="4"/>
  <c r="AO69" i="4" s="1"/>
  <c r="FA17" i="15"/>
  <c r="C2" i="55"/>
  <c r="FA60" i="15"/>
  <c r="C2" i="56"/>
  <c r="AG64" i="4"/>
  <c r="AQ64" i="4" s="1"/>
  <c r="AG67" i="4"/>
  <c r="AQ67" i="4" s="1"/>
  <c r="ER82" i="12"/>
  <c r="C2" i="31" s="1"/>
  <c r="FB66" i="12"/>
  <c r="FI103" i="13"/>
  <c r="FI137" i="13" s="1"/>
  <c r="EY138" i="13"/>
  <c r="EQ138" i="13"/>
  <c r="AG92" i="4"/>
  <c r="AQ92" i="4" s="1"/>
  <c r="ER36" i="14"/>
  <c r="EE44" i="14"/>
  <c r="AF91" i="4"/>
  <c r="AP91" i="4" s="1"/>
  <c r="AE90" i="4"/>
  <c r="AO90" i="4" s="1"/>
  <c r="AG88" i="4"/>
  <c r="AQ88" i="4" s="1"/>
  <c r="E77" i="1"/>
  <c r="E81" i="1"/>
  <c r="S48" i="1"/>
  <c r="T48" i="1" s="1"/>
  <c r="S54" i="1"/>
  <c r="T54" i="1" s="1"/>
  <c r="S60" i="1"/>
  <c r="T60" i="1" s="1"/>
  <c r="EZ138" i="13"/>
  <c r="EZ137" i="13" s="1"/>
  <c r="C2" i="37" s="1"/>
  <c r="FJ103" i="13"/>
  <c r="FJ137" i="13" s="1"/>
  <c r="AF87" i="4"/>
  <c r="AP87" i="4" s="1"/>
  <c r="ER108" i="12"/>
  <c r="C2" i="32" s="1"/>
  <c r="F77" i="1"/>
  <c r="F81" i="1"/>
  <c r="F82" i="1"/>
  <c r="AE92" i="4"/>
  <c r="AO92" i="4" s="1"/>
  <c r="ER138" i="13"/>
  <c r="AE86" i="4"/>
  <c r="AO86" i="4" s="1"/>
  <c r="Q75" i="1"/>
  <c r="Q78" i="1"/>
  <c r="Q82" i="1"/>
  <c r="ED87" i="14"/>
  <c r="EQ79" i="14"/>
  <c r="AG90" i="4"/>
  <c r="AQ90" i="4" s="1"/>
  <c r="EQ36" i="14"/>
  <c r="ED44" i="14"/>
  <c r="AG84" i="4"/>
  <c r="AQ84" i="4" s="1"/>
  <c r="AF89" i="4"/>
  <c r="AP89" i="4" s="1"/>
  <c r="EF88" i="12"/>
  <c r="AG91" i="4"/>
  <c r="AQ91" i="4" s="1"/>
  <c r="AE82" i="4"/>
  <c r="AO82" i="4" s="1"/>
  <c r="AE88" i="4"/>
  <c r="AO88" i="4" s="1"/>
  <c r="AF67" i="4"/>
  <c r="AP67" i="4" s="1"/>
  <c r="AF90" i="4"/>
  <c r="AP90" i="4" s="1"/>
  <c r="EE74" i="12"/>
  <c r="AG74" i="4"/>
  <c r="AQ74" i="4" s="1"/>
  <c r="AE64" i="4"/>
  <c r="AO64" i="4" s="1"/>
  <c r="AG86" i="4"/>
  <c r="AQ86" i="4" s="1"/>
  <c r="AE89" i="4"/>
  <c r="AO89" i="4" s="1"/>
  <c r="AE72" i="4"/>
  <c r="AO72" i="4" s="1"/>
  <c r="CY57" i="8"/>
  <c r="DS57" i="8" s="1"/>
  <c r="R58" i="8"/>
  <c r="CZ57" i="8"/>
  <c r="DT57" i="8" s="1"/>
  <c r="S58" i="8"/>
  <c r="DT51" i="8"/>
  <c r="DS53" i="8"/>
  <c r="DS48" i="8"/>
  <c r="DU101" i="8"/>
  <c r="DS46" i="8"/>
  <c r="DU47" i="8"/>
  <c r="DR106" i="8"/>
  <c r="DS51" i="8"/>
  <c r="DU107" i="8"/>
  <c r="DS107" i="8"/>
  <c r="DR97" i="8"/>
  <c r="DR51" i="8"/>
  <c r="DS105" i="8"/>
  <c r="DR107" i="8"/>
  <c r="DS104" i="8"/>
  <c r="DT53" i="8"/>
  <c r="DT48" i="8"/>
  <c r="DT98" i="8"/>
  <c r="DR98" i="8"/>
  <c r="DT96" i="8"/>
  <c r="DS100" i="8"/>
  <c r="DT103" i="8"/>
  <c r="DS55" i="8"/>
  <c r="DR104" i="8"/>
  <c r="DU106" i="8"/>
  <c r="DR48" i="8"/>
  <c r="DS101" i="8"/>
  <c r="DU98" i="8"/>
  <c r="DS47" i="8"/>
  <c r="DT102" i="8"/>
  <c r="DT55" i="8"/>
  <c r="DU104" i="8"/>
  <c r="DT104" i="8"/>
  <c r="DU49" i="8"/>
  <c r="DS106" i="8"/>
  <c r="DR101" i="8"/>
  <c r="DT54" i="8"/>
  <c r="DT46" i="8"/>
  <c r="DS99" i="8"/>
  <c r="DR47" i="8"/>
  <c r="DS96" i="8"/>
  <c r="DS56" i="8"/>
  <c r="DR56" i="8"/>
  <c r="DR100" i="8"/>
  <c r="DR103" i="8"/>
  <c r="DR102" i="8"/>
  <c r="DR55" i="8"/>
  <c r="DR49" i="8"/>
  <c r="DT101" i="8"/>
  <c r="DR54" i="8"/>
  <c r="DR46" i="8"/>
  <c r="DS98" i="8"/>
  <c r="DT47" i="8"/>
  <c r="DU56" i="8"/>
  <c r="DU52" i="8"/>
  <c r="DU100" i="8"/>
  <c r="DU103" i="8"/>
  <c r="DU102" i="8"/>
  <c r="DU55" i="8"/>
  <c r="DU97" i="8"/>
  <c r="DS49" i="8"/>
  <c r="DT106" i="8"/>
  <c r="DU53" i="8"/>
  <c r="DU48" i="8"/>
  <c r="DU54" i="8"/>
  <c r="DU46" i="8"/>
  <c r="DU51" i="8"/>
  <c r="DT99" i="8"/>
  <c r="DU105" i="8"/>
  <c r="DR96" i="8"/>
  <c r="DT52" i="8"/>
  <c r="DT100" i="8"/>
  <c r="DS97" i="8"/>
  <c r="DU99" i="8"/>
  <c r="DR53" i="8"/>
  <c r="DR105" i="8"/>
  <c r="DU96" i="8"/>
  <c r="DR50" i="8"/>
  <c r="DS50" i="8"/>
  <c r="DS52" i="8"/>
  <c r="DS103" i="8"/>
  <c r="DS102" i="8"/>
  <c r="DR57" i="8"/>
  <c r="DT107" i="8"/>
  <c r="DS54" i="8"/>
  <c r="DR99" i="8"/>
  <c r="DT105" i="8"/>
  <c r="DU50" i="8"/>
  <c r="DT50" i="8"/>
  <c r="DT56" i="8"/>
  <c r="DR52" i="8"/>
  <c r="DT97" i="8"/>
  <c r="DT49" i="8"/>
  <c r="DU57" i="8"/>
  <c r="CG105" i="8"/>
  <c r="CF107" i="8"/>
  <c r="CE51" i="8"/>
  <c r="CH51" i="8"/>
  <c r="CJ107" i="8"/>
  <c r="CH105" i="8"/>
  <c r="CK51" i="8"/>
  <c r="CR107" i="8"/>
  <c r="CS107" i="8" s="1"/>
  <c r="CP107" i="8"/>
  <c r="CN107" i="8"/>
  <c r="CE105" i="8"/>
  <c r="CI51" i="8"/>
  <c r="CN51" i="8"/>
  <c r="CI105" i="8"/>
  <c r="CQ105" i="8"/>
  <c r="CJ51" i="8"/>
  <c r="CO51" i="8"/>
  <c r="CG107" i="8"/>
  <c r="CK107" i="8"/>
  <c r="CI107" i="8"/>
  <c r="CN105" i="8"/>
  <c r="CJ105" i="8"/>
  <c r="CG51" i="8"/>
  <c r="CR105" i="8"/>
  <c r="J105" i="8" s="1"/>
  <c r="CO107" i="8"/>
  <c r="CQ51" i="8"/>
  <c r="CP105" i="8"/>
  <c r="CM105" i="8"/>
  <c r="CH107" i="8"/>
  <c r="CN104" i="8"/>
  <c r="CL107" i="8"/>
  <c r="CL51" i="8"/>
  <c r="CE107" i="8"/>
  <c r="CR51" i="8"/>
  <c r="CS51" i="8" s="1"/>
  <c r="CO103" i="8"/>
  <c r="CM107" i="8"/>
  <c r="CQ107" i="8"/>
  <c r="CM51" i="8"/>
  <c r="CF105" i="8"/>
  <c r="CK105" i="8"/>
  <c r="CP51" i="8"/>
  <c r="CF51" i="8"/>
  <c r="CL105" i="8"/>
  <c r="CQ53" i="8"/>
  <c r="CF53" i="8"/>
  <c r="CQ48" i="8"/>
  <c r="CK48" i="8"/>
  <c r="CN101" i="8"/>
  <c r="CH101" i="8"/>
  <c r="CL54" i="8"/>
  <c r="CH54" i="8"/>
  <c r="CR46" i="8"/>
  <c r="CK46" i="8"/>
  <c r="CM99" i="8"/>
  <c r="CG99" i="8"/>
  <c r="CK98" i="8"/>
  <c r="CF98" i="8"/>
  <c r="CG47" i="8"/>
  <c r="CF47" i="8"/>
  <c r="CN96" i="8"/>
  <c r="CF50" i="8"/>
  <c r="CJ50" i="8"/>
  <c r="CG56" i="8"/>
  <c r="CE56" i="8"/>
  <c r="CN52" i="8"/>
  <c r="CI52" i="8"/>
  <c r="CO100" i="8"/>
  <c r="CI100" i="8"/>
  <c r="CR103" i="8"/>
  <c r="CG103" i="8"/>
  <c r="CK102" i="8"/>
  <c r="CM102" i="8"/>
  <c r="CN55" i="8"/>
  <c r="CE97" i="8"/>
  <c r="CK97" i="8"/>
  <c r="CF104" i="8"/>
  <c r="CR104" i="8"/>
  <c r="CM49" i="8"/>
  <c r="CF57" i="8"/>
  <c r="CQ106" i="8"/>
  <c r="CN106" i="8"/>
  <c r="CH53" i="8"/>
  <c r="CO53" i="8"/>
  <c r="CF48" i="8"/>
  <c r="CL48" i="8"/>
  <c r="CQ101" i="8"/>
  <c r="CP101" i="8"/>
  <c r="CM54" i="8"/>
  <c r="CP54" i="8"/>
  <c r="CH46" i="8"/>
  <c r="CF46" i="8"/>
  <c r="CQ99" i="8"/>
  <c r="CO99" i="8"/>
  <c r="CI98" i="8"/>
  <c r="CN98" i="8"/>
  <c r="CO47" i="8"/>
  <c r="CK47" i="8"/>
  <c r="CG96" i="8"/>
  <c r="CH96" i="8"/>
  <c r="CN50" i="8"/>
  <c r="CK50" i="8"/>
  <c r="CH56" i="8"/>
  <c r="CM56" i="8"/>
  <c r="CK52" i="8"/>
  <c r="CQ52" i="8"/>
  <c r="CG100" i="8"/>
  <c r="CQ100" i="8"/>
  <c r="CJ103" i="8"/>
  <c r="CP102" i="8"/>
  <c r="CF102" i="8"/>
  <c r="CR55" i="8"/>
  <c r="CH55" i="8"/>
  <c r="CF97" i="8"/>
  <c r="CL97" i="8"/>
  <c r="CK104" i="8"/>
  <c r="CR49" i="8"/>
  <c r="CN49" i="8"/>
  <c r="CN57" i="8"/>
  <c r="CJ106" i="8"/>
  <c r="CG106" i="8"/>
  <c r="CJ53" i="8"/>
  <c r="CP53" i="8"/>
  <c r="CG48" i="8"/>
  <c r="CE48" i="8"/>
  <c r="CE101" i="8"/>
  <c r="CJ101" i="8"/>
  <c r="CQ54" i="8"/>
  <c r="CI46" i="8"/>
  <c r="CN46" i="8"/>
  <c r="CJ99" i="8"/>
  <c r="CH99" i="8"/>
  <c r="CQ98" i="8"/>
  <c r="CH47" i="8"/>
  <c r="CL96" i="8"/>
  <c r="CP96" i="8"/>
  <c r="CH50" i="8"/>
  <c r="CL50" i="8"/>
  <c r="CJ56" i="8"/>
  <c r="CF56" i="8"/>
  <c r="CL52" i="8"/>
  <c r="CJ52" i="8"/>
  <c r="CE100" i="8"/>
  <c r="CJ100" i="8"/>
  <c r="CI103" i="8"/>
  <c r="CH103" i="8"/>
  <c r="CI102" i="8"/>
  <c r="CN102" i="8"/>
  <c r="CE55" i="8"/>
  <c r="CP55" i="8"/>
  <c r="CG97" i="8"/>
  <c r="CO104" i="8"/>
  <c r="CQ49" i="8"/>
  <c r="CF49" i="8"/>
  <c r="CR57" i="8"/>
  <c r="CG57" i="8"/>
  <c r="CR106" i="8"/>
  <c r="CO106" i="8"/>
  <c r="CK53" i="8"/>
  <c r="CL53" i="8"/>
  <c r="CO48" i="8"/>
  <c r="CM48" i="8"/>
  <c r="CF101" i="8"/>
  <c r="CR101" i="8"/>
  <c r="CK54" i="8"/>
  <c r="CQ46" i="8"/>
  <c r="CG46" i="8"/>
  <c r="CR99" i="8"/>
  <c r="CP99" i="8"/>
  <c r="CJ98" i="8"/>
  <c r="CI47" i="8"/>
  <c r="CK96" i="8"/>
  <c r="CI96" i="8"/>
  <c r="CP50" i="8"/>
  <c r="CO56" i="8"/>
  <c r="CN56" i="8"/>
  <c r="CM52" i="8"/>
  <c r="CF52" i="8"/>
  <c r="CM100" i="8"/>
  <c r="CR100" i="8"/>
  <c r="CE103" i="8"/>
  <c r="CP103" i="8"/>
  <c r="CQ102" i="8"/>
  <c r="CG55" i="8"/>
  <c r="CI55" i="8"/>
  <c r="CO97" i="8"/>
  <c r="CH104" i="8"/>
  <c r="CJ49" i="8"/>
  <c r="CG49" i="8"/>
  <c r="CK57" i="8"/>
  <c r="CO57" i="8"/>
  <c r="CK106" i="8"/>
  <c r="CI53" i="8"/>
  <c r="CH48" i="8"/>
  <c r="CN48" i="8"/>
  <c r="CI101" i="8"/>
  <c r="CK101" i="8"/>
  <c r="CR54" i="8"/>
  <c r="CF54" i="8"/>
  <c r="CP46" i="8"/>
  <c r="CO46" i="8"/>
  <c r="CK99" i="8"/>
  <c r="CO98" i="8"/>
  <c r="CR98" i="8"/>
  <c r="CR47" i="8"/>
  <c r="CQ47" i="8"/>
  <c r="CO96" i="8"/>
  <c r="CQ96" i="8"/>
  <c r="CG50" i="8"/>
  <c r="CI56" i="8"/>
  <c r="CG52" i="8"/>
  <c r="CE52" i="8"/>
  <c r="CF100" i="8"/>
  <c r="CK103" i="8"/>
  <c r="CJ102" i="8"/>
  <c r="CL55" i="8"/>
  <c r="CQ55" i="8"/>
  <c r="CM97" i="8"/>
  <c r="CH97" i="8"/>
  <c r="CG104" i="8"/>
  <c r="CP104" i="8"/>
  <c r="CL49" i="8"/>
  <c r="CO49" i="8"/>
  <c r="CJ57" i="8"/>
  <c r="CH57" i="8"/>
  <c r="CL106" i="8"/>
  <c r="CM53" i="8"/>
  <c r="CP48" i="8"/>
  <c r="CM101" i="8"/>
  <c r="CL101" i="8"/>
  <c r="CE54" i="8"/>
  <c r="CN54" i="8"/>
  <c r="CJ46" i="8"/>
  <c r="CE46" i="8"/>
  <c r="CL99" i="8"/>
  <c r="CP98" i="8"/>
  <c r="CL98" i="8"/>
  <c r="CL47" i="8"/>
  <c r="CN47" i="8"/>
  <c r="CE96" i="8"/>
  <c r="CJ96" i="8"/>
  <c r="CR50" i="8"/>
  <c r="CQ50" i="8"/>
  <c r="CQ56" i="8"/>
  <c r="CO52" i="8"/>
  <c r="CN100" i="8"/>
  <c r="CL103" i="8"/>
  <c r="CG102" i="8"/>
  <c r="CR102" i="8"/>
  <c r="CO55" i="8"/>
  <c r="CJ55" i="8"/>
  <c r="CN97" i="8"/>
  <c r="CP97" i="8"/>
  <c r="CL104" i="8"/>
  <c r="CI104" i="8"/>
  <c r="CI49" i="8"/>
  <c r="CH49" i="8"/>
  <c r="CL57" i="8"/>
  <c r="CP57" i="8"/>
  <c r="CP106" i="8"/>
  <c r="CE106" i="8"/>
  <c r="CR53" i="8"/>
  <c r="CE53" i="8"/>
  <c r="CI48" i="8"/>
  <c r="CG101" i="8"/>
  <c r="CI54" i="8"/>
  <c r="CG54" i="8"/>
  <c r="CL46" i="8"/>
  <c r="CE99" i="8"/>
  <c r="CF99" i="8"/>
  <c r="CG98" i="8"/>
  <c r="CE98" i="8"/>
  <c r="CE47" i="8"/>
  <c r="CP47" i="8"/>
  <c r="CM96" i="8"/>
  <c r="CR96" i="8"/>
  <c r="CE50" i="8"/>
  <c r="CO50" i="8"/>
  <c r="CR56" i="8"/>
  <c r="CK56" i="8"/>
  <c r="CH52" i="8"/>
  <c r="CK100" i="8"/>
  <c r="CH100" i="8"/>
  <c r="CM103" i="8"/>
  <c r="CF103" i="8"/>
  <c r="CH102" i="8"/>
  <c r="CL102" i="8"/>
  <c r="CM55" i="8"/>
  <c r="CK55" i="8"/>
  <c r="CQ97" i="8"/>
  <c r="CJ97" i="8"/>
  <c r="CE104" i="8"/>
  <c r="CQ104" i="8"/>
  <c r="CK49" i="8"/>
  <c r="CP49" i="8"/>
  <c r="CE57" i="8"/>
  <c r="CI57" i="8"/>
  <c r="CH106" i="8"/>
  <c r="CM106" i="8"/>
  <c r="CO105" i="8"/>
  <c r="CG53" i="8"/>
  <c r="CN53" i="8"/>
  <c r="CR48" i="8"/>
  <c r="CJ48" i="8"/>
  <c r="CO101" i="8"/>
  <c r="CJ54" i="8"/>
  <c r="CO54" i="8"/>
  <c r="CM46" i="8"/>
  <c r="CI99" i="8"/>
  <c r="CN99" i="8"/>
  <c r="CH98" i="8"/>
  <c r="CM98" i="8"/>
  <c r="CM47" i="8"/>
  <c r="CJ47" i="8"/>
  <c r="CF96" i="8"/>
  <c r="CM50" i="8"/>
  <c r="CI50" i="8"/>
  <c r="CP56" i="8"/>
  <c r="CL56" i="8"/>
  <c r="CR52" i="8"/>
  <c r="CP52" i="8"/>
  <c r="CL100" i="8"/>
  <c r="CP100" i="8"/>
  <c r="CQ103" i="8"/>
  <c r="CN103" i="8"/>
  <c r="CO102" i="8"/>
  <c r="CE102" i="8"/>
  <c r="CF55" i="8"/>
  <c r="CI97" i="8"/>
  <c r="CR97" i="8"/>
  <c r="CM104" i="8"/>
  <c r="CJ104" i="8"/>
  <c r="CE49" i="8"/>
  <c r="CM57" i="8"/>
  <c r="CQ57" i="8"/>
  <c r="CI106" i="8"/>
  <c r="CF106" i="8"/>
  <c r="G76" i="1"/>
  <c r="G83" i="1"/>
  <c r="I59" i="1"/>
  <c r="J59" i="1" s="1"/>
  <c r="G77" i="1"/>
  <c r="G81" i="1"/>
  <c r="G82" i="1"/>
  <c r="F74" i="1"/>
  <c r="P74" i="1"/>
  <c r="P75" i="1"/>
  <c r="P76" i="1"/>
  <c r="P77" i="1"/>
  <c r="P78" i="1"/>
  <c r="P80" i="1"/>
  <c r="P81" i="1"/>
  <c r="P82" i="1"/>
  <c r="P83" i="1"/>
  <c r="P84" i="1"/>
  <c r="G78" i="1"/>
  <c r="G84" i="1"/>
  <c r="Q83" i="1"/>
  <c r="Q84" i="1"/>
  <c r="G75" i="1"/>
  <c r="G80" i="1"/>
  <c r="I60" i="1"/>
  <c r="J60" i="1" s="1"/>
  <c r="E82" i="1"/>
  <c r="O77" i="1"/>
  <c r="O81" i="1"/>
  <c r="O75" i="1"/>
  <c r="O84" i="1"/>
  <c r="O78" i="1"/>
  <c r="E74" i="1"/>
  <c r="O82" i="1"/>
  <c r="O83" i="1"/>
  <c r="S47" i="1"/>
  <c r="T47" i="1" s="1"/>
  <c r="S51" i="1"/>
  <c r="T51" i="1" s="1"/>
  <c r="I48" i="1"/>
  <c r="J48" i="1" s="1"/>
  <c r="I50" i="1"/>
  <c r="J50" i="1" s="1"/>
  <c r="I52" i="1"/>
  <c r="J52" i="1" s="1"/>
  <c r="I54" i="1"/>
  <c r="J54" i="1" s="1"/>
  <c r="I58" i="1"/>
  <c r="J58" i="1" s="1"/>
  <c r="I62" i="1"/>
  <c r="J62" i="1" s="1"/>
  <c r="I64" i="1"/>
  <c r="J64" i="1" s="1"/>
  <c r="I56" i="1"/>
  <c r="J56" i="1" s="1"/>
  <c r="I53" i="1"/>
  <c r="J53" i="1" s="1"/>
  <c r="I57" i="1"/>
  <c r="J57" i="1" s="1"/>
  <c r="I55" i="1"/>
  <c r="J55" i="1" s="1"/>
  <c r="I63" i="1"/>
  <c r="J63" i="1" s="1"/>
  <c r="I65" i="1"/>
  <c r="J65" i="1" s="1"/>
  <c r="I47" i="1"/>
  <c r="J47" i="1" s="1"/>
  <c r="S57" i="1"/>
  <c r="T57" i="1" s="1"/>
  <c r="S61" i="1"/>
  <c r="T61" i="1" s="1"/>
  <c r="S55" i="1"/>
  <c r="T55" i="1" s="1"/>
  <c r="S63" i="1"/>
  <c r="T63" i="1" s="1"/>
  <c r="I49" i="1"/>
  <c r="J49" i="1" s="1"/>
  <c r="I51" i="1"/>
  <c r="J51" i="1" s="1"/>
  <c r="S50" i="1"/>
  <c r="T50" i="1" s="1"/>
  <c r="S59" i="1"/>
  <c r="T59" i="1" s="1"/>
  <c r="S56" i="1"/>
  <c r="T56" i="1" s="1"/>
  <c r="S53" i="1"/>
  <c r="T53" i="1" s="1"/>
  <c r="S49" i="1"/>
  <c r="T49" i="1" s="1"/>
  <c r="S46" i="1"/>
  <c r="T46" i="1" s="1"/>
  <c r="I61" i="1"/>
  <c r="J61" i="1" s="1"/>
  <c r="U44" i="2"/>
  <c r="T44" i="2"/>
  <c r="U43" i="2"/>
  <c r="T43" i="2"/>
  <c r="U42" i="2"/>
  <c r="T42" i="2"/>
  <c r="U41" i="2"/>
  <c r="T41" i="2"/>
  <c r="U40" i="2"/>
  <c r="T40" i="2"/>
  <c r="U39" i="2"/>
  <c r="T39" i="2"/>
  <c r="U38" i="2"/>
  <c r="T38" i="2"/>
  <c r="U33" i="2"/>
  <c r="T33" i="2"/>
  <c r="U32" i="2"/>
  <c r="T32" i="2"/>
  <c r="U31" i="2"/>
  <c r="T31" i="2"/>
  <c r="U30" i="2"/>
  <c r="T30" i="2"/>
  <c r="U29" i="2"/>
  <c r="T29" i="2"/>
  <c r="BE69" i="3"/>
  <c r="BD69" i="3"/>
  <c r="BC69" i="3"/>
  <c r="BB69" i="3"/>
  <c r="AR69" i="3"/>
  <c r="AQ69" i="3"/>
  <c r="AP69" i="3"/>
  <c r="AO69" i="3"/>
  <c r="AE69" i="3"/>
  <c r="AD69" i="3"/>
  <c r="AC69" i="3"/>
  <c r="AB69" i="3"/>
  <c r="R69" i="3"/>
  <c r="Q69" i="3"/>
  <c r="P69" i="3"/>
  <c r="O69" i="3"/>
  <c r="FB17" i="15" l="1"/>
  <c r="C2" i="57"/>
  <c r="C2" i="18"/>
  <c r="FA79" i="14"/>
  <c r="C2" i="52"/>
  <c r="EZ36" i="14"/>
  <c r="C2" i="49"/>
  <c r="EZ79" i="14"/>
  <c r="C2" i="50"/>
  <c r="FA36" i="14"/>
  <c r="C2" i="51"/>
  <c r="DZ98" i="8"/>
  <c r="DZ51" i="8"/>
  <c r="DY55" i="8"/>
  <c r="DY104" i="8"/>
  <c r="DY100" i="8"/>
  <c r="DZ99" i="8"/>
  <c r="DY99" i="8"/>
  <c r="DY96" i="8"/>
  <c r="EH95" i="8" s="1"/>
  <c r="ER95" i="8" s="1"/>
  <c r="DY101" i="8"/>
  <c r="DZ97" i="8"/>
  <c r="DZ96" i="8"/>
  <c r="EI95" i="8" s="1"/>
  <c r="ES95" i="8" s="1"/>
  <c r="DY102" i="8"/>
  <c r="DY103" i="8"/>
  <c r="DY105" i="8"/>
  <c r="DY52" i="8"/>
  <c r="DZ104" i="8"/>
  <c r="DZ100" i="8"/>
  <c r="DZ103" i="8"/>
  <c r="DZ102" i="8"/>
  <c r="DZ101" i="8"/>
  <c r="DY98" i="8"/>
  <c r="DY97" i="8"/>
  <c r="DZ52" i="8"/>
  <c r="DZ105" i="8"/>
  <c r="DY47" i="8"/>
  <c r="DY54" i="8"/>
  <c r="DZ46" i="8"/>
  <c r="EI46" i="8" s="1"/>
  <c r="ES46" i="8" s="1"/>
  <c r="DZ55" i="8"/>
  <c r="DY51" i="8"/>
  <c r="DZ48" i="8"/>
  <c r="DY49" i="8"/>
  <c r="DZ50" i="8"/>
  <c r="DZ49" i="8"/>
  <c r="DZ53" i="8"/>
  <c r="DY53" i="8"/>
  <c r="DY50" i="8"/>
  <c r="DZ47" i="8"/>
  <c r="DY46" i="8"/>
  <c r="EH46" i="8" s="1"/>
  <c r="DZ54" i="8"/>
  <c r="DY48" i="8"/>
  <c r="CS105" i="8"/>
  <c r="J51" i="8"/>
  <c r="J107" i="8"/>
  <c r="CS55" i="8"/>
  <c r="J55" i="8"/>
  <c r="CS100" i="8"/>
  <c r="J100" i="8"/>
  <c r="CS106" i="8"/>
  <c r="J106" i="8"/>
  <c r="CS46" i="8"/>
  <c r="J46" i="8"/>
  <c r="CS48" i="8"/>
  <c r="J48" i="8"/>
  <c r="CS96" i="8"/>
  <c r="J96" i="8"/>
  <c r="CS50" i="8"/>
  <c r="J50" i="8"/>
  <c r="CS101" i="8"/>
  <c r="J101" i="8"/>
  <c r="CS49" i="8"/>
  <c r="J49" i="8"/>
  <c r="CS53" i="8"/>
  <c r="J53" i="8"/>
  <c r="CS99" i="8"/>
  <c r="J99" i="8"/>
  <c r="CS57" i="8"/>
  <c r="J57" i="8"/>
  <c r="CS104" i="8"/>
  <c r="J104" i="8"/>
  <c r="CS52" i="8"/>
  <c r="J52" i="8"/>
  <c r="CS56" i="8"/>
  <c r="J56" i="8"/>
  <c r="CS102" i="8"/>
  <c r="J102" i="8"/>
  <c r="CS47" i="8"/>
  <c r="J47" i="8"/>
  <c r="CS97" i="8"/>
  <c r="J97" i="8"/>
  <c r="CS98" i="8"/>
  <c r="J98" i="8"/>
  <c r="CS54" i="8"/>
  <c r="J54" i="8"/>
  <c r="CS103" i="8"/>
  <c r="J103" i="8"/>
  <c r="C69" i="3"/>
  <c r="D69" i="3"/>
  <c r="E69" i="3"/>
  <c r="B69" i="3"/>
  <c r="ER46" i="8" l="1"/>
  <c r="EI133" i="8"/>
  <c r="ES133" i="8" s="1"/>
  <c r="EI139" i="8"/>
  <c r="ES139" i="8" s="1"/>
  <c r="EI138" i="8"/>
  <c r="ES138" i="8" s="1"/>
  <c r="EI137" i="8"/>
  <c r="ES137" i="8" s="1"/>
  <c r="EI136" i="8"/>
  <c r="ES136" i="8" s="1"/>
  <c r="EI135" i="8"/>
  <c r="ES135" i="8" s="1"/>
  <c r="EI134" i="8"/>
  <c r="ES134" i="8" s="1"/>
  <c r="EI50" i="8"/>
  <c r="ES50" i="8" s="1"/>
  <c r="EI49" i="8"/>
  <c r="ES49" i="8" s="1"/>
  <c r="EH97" i="8"/>
  <c r="ER97" i="8" s="1"/>
  <c r="EH96" i="8"/>
  <c r="EI117" i="8"/>
  <c r="ES117" i="8" s="1"/>
  <c r="EI109" i="8"/>
  <c r="ES109" i="8" s="1"/>
  <c r="EI101" i="8"/>
  <c r="ES101" i="8" s="1"/>
  <c r="EI110" i="8"/>
  <c r="ES110" i="8" s="1"/>
  <c r="EI116" i="8"/>
  <c r="ES116" i="8" s="1"/>
  <c r="EI108" i="8"/>
  <c r="ES108" i="8" s="1"/>
  <c r="EI100" i="8"/>
  <c r="ES100" i="8" s="1"/>
  <c r="EI115" i="8"/>
  <c r="ES115" i="8" s="1"/>
  <c r="EI107" i="8"/>
  <c r="ES107" i="8" s="1"/>
  <c r="EI102" i="8"/>
  <c r="ES102" i="8" s="1"/>
  <c r="EI114" i="8"/>
  <c r="ES114" i="8" s="1"/>
  <c r="EI106" i="8"/>
  <c r="ES106" i="8" s="1"/>
  <c r="EI118" i="8"/>
  <c r="ES118" i="8" s="1"/>
  <c r="EI113" i="8"/>
  <c r="ES113" i="8" s="1"/>
  <c r="EI105" i="8"/>
  <c r="ES105" i="8" s="1"/>
  <c r="EI112" i="8"/>
  <c r="ES112" i="8" s="1"/>
  <c r="EI104" i="8"/>
  <c r="ES104" i="8" s="1"/>
  <c r="EI111" i="8"/>
  <c r="ES111" i="8" s="1"/>
  <c r="EI103" i="8"/>
  <c r="ES103" i="8" s="1"/>
  <c r="EH50" i="8"/>
  <c r="ER50" i="8" s="1"/>
  <c r="EH49" i="8"/>
  <c r="ER49" i="8" s="1"/>
  <c r="EH81" i="8"/>
  <c r="ER81" i="8" s="1"/>
  <c r="EH80" i="8"/>
  <c r="ER80" i="8" s="1"/>
  <c r="EH79" i="8"/>
  <c r="ER79" i="8" s="1"/>
  <c r="EI47" i="8"/>
  <c r="ES47" i="8" s="1"/>
  <c r="EI48" i="8"/>
  <c r="ES48" i="8" s="1"/>
  <c r="EH76" i="8"/>
  <c r="ER76" i="8" s="1"/>
  <c r="EH75" i="8"/>
  <c r="ER75" i="8" s="1"/>
  <c r="EH74" i="8"/>
  <c r="ER74" i="8" s="1"/>
  <c r="EH73" i="8"/>
  <c r="ER73" i="8" s="1"/>
  <c r="EH78" i="8"/>
  <c r="ER78" i="8" s="1"/>
  <c r="EH77" i="8"/>
  <c r="ER77" i="8" s="1"/>
  <c r="EH99" i="8"/>
  <c r="ER99" i="8" s="1"/>
  <c r="EH98" i="8"/>
  <c r="ER98" i="8" s="1"/>
  <c r="EH132" i="8"/>
  <c r="ER132" i="8" s="1"/>
  <c r="EH131" i="8"/>
  <c r="ER131" i="8" s="1"/>
  <c r="EH121" i="8"/>
  <c r="ER121" i="8" s="1"/>
  <c r="EH120" i="8"/>
  <c r="ER120" i="8" s="1"/>
  <c r="EH119" i="8"/>
  <c r="ER119" i="8" s="1"/>
  <c r="EI79" i="8"/>
  <c r="ES79" i="8" s="1"/>
  <c r="EI80" i="8"/>
  <c r="ES80" i="8" s="1"/>
  <c r="EI81" i="8"/>
  <c r="ES81" i="8" s="1"/>
  <c r="EH72" i="8"/>
  <c r="ER72" i="8" s="1"/>
  <c r="EH71" i="8"/>
  <c r="ER71" i="8" s="1"/>
  <c r="EH70" i="8"/>
  <c r="ER70" i="8" s="1"/>
  <c r="EI125" i="8"/>
  <c r="ES125" i="8" s="1"/>
  <c r="EI124" i="8"/>
  <c r="ES124" i="8" s="1"/>
  <c r="EI123" i="8"/>
  <c r="ES123" i="8" s="1"/>
  <c r="EI122" i="8"/>
  <c r="ES122" i="8" s="1"/>
  <c r="EI126" i="8"/>
  <c r="ES126" i="8" s="1"/>
  <c r="EI127" i="8"/>
  <c r="ES127" i="8" s="1"/>
  <c r="EH130" i="8"/>
  <c r="ER130" i="8" s="1"/>
  <c r="EH129" i="8"/>
  <c r="ER129" i="8" s="1"/>
  <c r="EH128" i="8"/>
  <c r="ER128" i="8" s="1"/>
  <c r="EH139" i="8"/>
  <c r="ER139" i="8" s="1"/>
  <c r="EH133" i="8"/>
  <c r="ER133" i="8" s="1"/>
  <c r="EH138" i="8"/>
  <c r="ER138" i="8" s="1"/>
  <c r="EH137" i="8"/>
  <c r="ER137" i="8" s="1"/>
  <c r="EH136" i="8"/>
  <c r="ER136" i="8" s="1"/>
  <c r="EH135" i="8"/>
  <c r="ER135" i="8" s="1"/>
  <c r="EH134" i="8"/>
  <c r="ER134" i="8" s="1"/>
  <c r="EI71" i="8"/>
  <c r="ES71" i="8" s="1"/>
  <c r="EI70" i="8"/>
  <c r="ES70" i="8" s="1"/>
  <c r="EI72" i="8"/>
  <c r="ES72" i="8" s="1"/>
  <c r="EI87" i="8"/>
  <c r="ES87" i="8" s="1"/>
  <c r="EI86" i="8"/>
  <c r="ES86" i="8" s="1"/>
  <c r="EI85" i="8"/>
  <c r="ES85" i="8" s="1"/>
  <c r="EI84" i="8"/>
  <c r="ES84" i="8" s="1"/>
  <c r="EI90" i="8"/>
  <c r="ES90" i="8" s="1"/>
  <c r="EI89" i="8"/>
  <c r="ES89" i="8" s="1"/>
  <c r="EI88" i="8"/>
  <c r="ES88" i="8" s="1"/>
  <c r="EI83" i="8"/>
  <c r="ES83" i="8" s="1"/>
  <c r="EI82" i="8"/>
  <c r="ES82" i="8" s="1"/>
  <c r="EH84" i="8"/>
  <c r="ER84" i="8" s="1"/>
  <c r="EH90" i="8"/>
  <c r="ER90" i="8" s="1"/>
  <c r="EH85" i="8"/>
  <c r="ER85" i="8" s="1"/>
  <c r="EH89" i="8"/>
  <c r="ER89" i="8" s="1"/>
  <c r="EH88" i="8"/>
  <c r="ER88" i="8" s="1"/>
  <c r="EH87" i="8"/>
  <c r="ER87" i="8" s="1"/>
  <c r="EH86" i="8"/>
  <c r="ER86" i="8" s="1"/>
  <c r="EI132" i="8"/>
  <c r="ES132" i="8" s="1"/>
  <c r="EI131" i="8"/>
  <c r="ES131" i="8" s="1"/>
  <c r="EI97" i="8"/>
  <c r="ES97" i="8" s="1"/>
  <c r="EI96" i="8"/>
  <c r="EI78" i="8"/>
  <c r="ES78" i="8" s="1"/>
  <c r="EI77" i="8"/>
  <c r="ES77" i="8" s="1"/>
  <c r="EI76" i="8"/>
  <c r="ES76" i="8" s="1"/>
  <c r="EI75" i="8"/>
  <c r="ES75" i="8" s="1"/>
  <c r="EI74" i="8"/>
  <c r="ES74" i="8" s="1"/>
  <c r="EI73" i="8"/>
  <c r="ES73" i="8" s="1"/>
  <c r="EH68" i="8"/>
  <c r="ER68" i="8" s="1"/>
  <c r="EH60" i="8"/>
  <c r="ER60" i="8" s="1"/>
  <c r="EH52" i="8"/>
  <c r="ER52" i="8" s="1"/>
  <c r="EH67" i="8"/>
  <c r="ER67" i="8" s="1"/>
  <c r="EH59" i="8"/>
  <c r="ER59" i="8" s="1"/>
  <c r="EH51" i="8"/>
  <c r="ER51" i="8" s="1"/>
  <c r="EH66" i="8"/>
  <c r="ER66" i="8" s="1"/>
  <c r="EH58" i="8"/>
  <c r="ER58" i="8" s="1"/>
  <c r="EH65" i="8"/>
  <c r="ER65" i="8" s="1"/>
  <c r="EH57" i="8"/>
  <c r="ER57" i="8" s="1"/>
  <c r="EH61" i="8"/>
  <c r="ER61" i="8" s="1"/>
  <c r="EH64" i="8"/>
  <c r="ER64" i="8" s="1"/>
  <c r="EH56" i="8"/>
  <c r="ER56" i="8" s="1"/>
  <c r="EH69" i="8"/>
  <c r="ER69" i="8" s="1"/>
  <c r="EH63" i="8"/>
  <c r="ER63" i="8" s="1"/>
  <c r="EH55" i="8"/>
  <c r="ER55" i="8" s="1"/>
  <c r="EH53" i="8"/>
  <c r="ER53" i="8" s="1"/>
  <c r="EH62" i="8"/>
  <c r="ER62" i="8" s="1"/>
  <c r="EH54" i="8"/>
  <c r="ER54" i="8" s="1"/>
  <c r="EH116" i="8"/>
  <c r="ER116" i="8" s="1"/>
  <c r="EH108" i="8"/>
  <c r="ER108" i="8" s="1"/>
  <c r="EH100" i="8"/>
  <c r="ER100" i="8" s="1"/>
  <c r="EH115" i="8"/>
  <c r="ER115" i="8" s="1"/>
  <c r="EH107" i="8"/>
  <c r="ER107" i="8" s="1"/>
  <c r="EH114" i="8"/>
  <c r="ER114" i="8" s="1"/>
  <c r="EH106" i="8"/>
  <c r="ER106" i="8" s="1"/>
  <c r="EH101" i="8"/>
  <c r="ER101" i="8" s="1"/>
  <c r="EH113" i="8"/>
  <c r="ER113" i="8" s="1"/>
  <c r="EH105" i="8"/>
  <c r="ER105" i="8" s="1"/>
  <c r="EH109" i="8"/>
  <c r="ER109" i="8" s="1"/>
  <c r="EH112" i="8"/>
  <c r="ER112" i="8" s="1"/>
  <c r="EH104" i="8"/>
  <c r="ER104" i="8" s="1"/>
  <c r="EH111" i="8"/>
  <c r="ER111" i="8" s="1"/>
  <c r="EH103" i="8"/>
  <c r="ER103" i="8" s="1"/>
  <c r="EH117" i="8"/>
  <c r="ER117" i="8" s="1"/>
  <c r="EH118" i="8"/>
  <c r="ER118" i="8" s="1"/>
  <c r="EH110" i="8"/>
  <c r="ER110" i="8" s="1"/>
  <c r="EH102" i="8"/>
  <c r="ER102" i="8" s="1"/>
  <c r="EH83" i="8"/>
  <c r="ER83" i="8" s="1"/>
  <c r="EH82" i="8"/>
  <c r="ER82" i="8" s="1"/>
  <c r="EI130" i="8"/>
  <c r="ES130" i="8" s="1"/>
  <c r="EI129" i="8"/>
  <c r="ES129" i="8" s="1"/>
  <c r="EI128" i="8"/>
  <c r="ES128" i="8" s="1"/>
  <c r="EI63" i="8"/>
  <c r="ES63" i="8" s="1"/>
  <c r="EI55" i="8"/>
  <c r="ES55" i="8" s="1"/>
  <c r="EI62" i="8"/>
  <c r="ES62" i="8" s="1"/>
  <c r="EI54" i="8"/>
  <c r="ES54" i="8" s="1"/>
  <c r="EI69" i="8"/>
  <c r="ES69" i="8" s="1"/>
  <c r="EI61" i="8"/>
  <c r="ES61" i="8" s="1"/>
  <c r="EI53" i="8"/>
  <c r="ES53" i="8" s="1"/>
  <c r="EI68" i="8"/>
  <c r="ES68" i="8" s="1"/>
  <c r="EI60" i="8"/>
  <c r="ES60" i="8" s="1"/>
  <c r="EI52" i="8"/>
  <c r="ES52" i="8" s="1"/>
  <c r="EI67" i="8"/>
  <c r="ES67" i="8" s="1"/>
  <c r="EI59" i="8"/>
  <c r="ES59" i="8" s="1"/>
  <c r="EI51" i="8"/>
  <c r="EI64" i="8"/>
  <c r="ES64" i="8" s="1"/>
  <c r="EI66" i="8"/>
  <c r="ES66" i="8" s="1"/>
  <c r="EI58" i="8"/>
  <c r="ES58" i="8" s="1"/>
  <c r="EI56" i="8"/>
  <c r="ES56" i="8" s="1"/>
  <c r="EI65" i="8"/>
  <c r="ES65" i="8" s="1"/>
  <c r="EI57" i="8"/>
  <c r="ES57" i="8" s="1"/>
  <c r="EH48" i="8"/>
  <c r="ER48" i="8" s="1"/>
  <c r="EH47" i="8"/>
  <c r="ER47" i="8" s="1"/>
  <c r="EI121" i="8"/>
  <c r="ES121" i="8" s="1"/>
  <c r="EI120" i="8"/>
  <c r="ES120" i="8" s="1"/>
  <c r="EI119" i="8"/>
  <c r="ES119" i="8" s="1"/>
  <c r="EH124" i="8"/>
  <c r="ER124" i="8" s="1"/>
  <c r="EH123" i="8"/>
  <c r="ER123" i="8" s="1"/>
  <c r="EH122" i="8"/>
  <c r="ER122" i="8" s="1"/>
  <c r="EH125" i="8"/>
  <c r="ER125" i="8" s="1"/>
  <c r="EH127" i="8"/>
  <c r="ER127" i="8" s="1"/>
  <c r="EH126" i="8"/>
  <c r="ER126" i="8" s="1"/>
  <c r="EI99" i="8"/>
  <c r="ES99" i="8" s="1"/>
  <c r="EI98" i="8"/>
  <c r="ES98" i="8" s="1"/>
  <c r="DZ106" i="8"/>
  <c r="DY106" i="8"/>
  <c r="DY56" i="8"/>
  <c r="DZ56" i="8"/>
  <c r="EI91" i="8" l="1"/>
  <c r="ES51" i="8"/>
  <c r="EH140" i="8"/>
  <c r="ER96" i="8"/>
  <c r="EH91" i="8"/>
  <c r="EI140" i="8"/>
  <c r="ES96" i="8"/>
  <c r="FI176" i="13"/>
  <c r="FI175" i="13"/>
  <c r="FI168" i="13"/>
  <c r="FI171" i="13"/>
  <c r="FI169" i="13"/>
  <c r="FI167" i="13"/>
  <c r="FI170" i="13"/>
  <c r="FI164" i="13"/>
  <c r="FI165" i="13"/>
  <c r="FI163" i="13"/>
  <c r="FI166" i="13"/>
  <c r="FI177" i="13"/>
  <c r="FJ179" i="13"/>
  <c r="FJ178" i="13"/>
  <c r="FI174" i="13"/>
  <c r="FJ177" i="13"/>
  <c r="B2" i="17" l="1"/>
  <c r="B2" i="24"/>
  <c r="B2" i="16"/>
  <c r="B2" i="23"/>
  <c r="B2" i="26"/>
  <c r="B2" i="19"/>
  <c r="B2" i="18"/>
  <c r="B2" i="25"/>
  <c r="FJ175" i="13"/>
  <c r="FJ176" i="13"/>
  <c r="FJ163" i="13"/>
  <c r="FJ166" i="13"/>
  <c r="FJ164" i="13"/>
  <c r="FJ165" i="13"/>
  <c r="EQ159" i="13"/>
  <c r="FI160" i="13"/>
  <c r="FI161" i="13"/>
  <c r="FJ160" i="13"/>
  <c r="FJ161" i="13"/>
  <c r="ER159" i="13"/>
  <c r="FJ172" i="13"/>
  <c r="FJ173" i="13"/>
  <c r="FJ174" i="13"/>
  <c r="FJ167" i="13"/>
  <c r="FJ168" i="13"/>
  <c r="FJ171" i="13"/>
  <c r="FJ169" i="13"/>
  <c r="FJ170" i="13"/>
  <c r="FI179" i="13"/>
  <c r="FI178" i="13"/>
  <c r="FI172" i="13"/>
  <c r="FI173" i="13"/>
  <c r="FJ158" i="13" l="1"/>
  <c r="FI158" i="13"/>
  <c r="ER181" i="13"/>
  <c r="EQ181" i="13"/>
  <c r="FI159" i="13" l="1"/>
  <c r="EY181" i="13"/>
  <c r="EY180" i="13" s="1"/>
  <c r="C2" i="17" s="1"/>
  <c r="FJ159" i="13"/>
  <c r="FJ180" i="13" s="1"/>
  <c r="EZ181" i="13"/>
  <c r="EZ180" i="13" s="1"/>
  <c r="C2" i="19" s="1"/>
  <c r="FI180" i="13"/>
  <c r="C2" i="38" l="1"/>
  <c r="C2" i="36"/>
  <c r="ER140" i="8"/>
  <c r="ES140" i="8"/>
  <c r="ES91" i="8"/>
  <c r="ER91" i="8"/>
  <c r="EY137" i="13" l="1"/>
  <c r="C2" i="35" l="1"/>
  <c r="C2" i="16"/>
</calcChain>
</file>

<file path=xl/comments1.xml><?xml version="1.0" encoding="utf-8"?>
<comments xmlns="http://schemas.openxmlformats.org/spreadsheetml/2006/main">
  <authors>
    <author>Author</author>
  </authors>
  <commentList>
    <comment ref="C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Author:
</t>
        </r>
        <r>
          <rPr>
            <sz val="9"/>
            <color indexed="81"/>
            <rFont val="돋움"/>
            <family val="3"/>
            <charset val="129"/>
          </rPr>
          <t>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장항공공주택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상주인구의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나와있으므로</t>
        </r>
        <r>
          <rPr>
            <sz val="9"/>
            <color indexed="81"/>
            <rFont val="Tahoma"/>
            <family val="2"/>
          </rPr>
          <t xml:space="preserve">,
 </t>
        </r>
        <r>
          <rPr>
            <sz val="9"/>
            <color indexed="81"/>
            <rFont val="돋움"/>
            <family val="3"/>
            <charset val="129"/>
          </rPr>
          <t>유출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유입인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통행량이므로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나누어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</t>
        </r>
      </text>
    </comment>
  </commentList>
</comments>
</file>

<file path=xl/comments2.xml><?xml version="1.0" encoding="utf-8"?>
<comments xmlns="http://schemas.openxmlformats.org/spreadsheetml/2006/main">
  <authors>
    <author>Author</author>
  </authors>
  <commentList>
    <comment ref="AB59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돋움"/>
            <family val="3"/>
            <charset val="129"/>
          </rPr>
          <t>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  <r>
          <rPr>
            <b/>
            <sz val="9"/>
            <color indexed="81"/>
            <rFont val="돋움"/>
            <family val="3"/>
            <charset val="129"/>
          </rPr>
          <t>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장항공공주택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EB10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C103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도착량에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대한증가율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바로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EL11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  <comment ref="EZ137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장항공공주택지구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반영량
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실제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장래개발코드로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들어감</t>
        </r>
        <r>
          <rPr>
            <sz val="9"/>
            <color indexed="81"/>
            <rFont val="Tahoma"/>
            <family val="2"/>
          </rPr>
          <t>)</t>
        </r>
      </text>
    </comment>
    <comment ref="EB1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L15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</commentList>
</comments>
</file>

<file path=xl/comments3.xml><?xml version="1.0" encoding="utf-8"?>
<comments xmlns="http://schemas.openxmlformats.org/spreadsheetml/2006/main">
  <authors>
    <author>Author</author>
  </authors>
  <commentList>
    <comment ref="Y26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B27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EB60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K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FD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</text>
    </comment>
    <comment ref="EM64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상업시설용지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  <r>
          <rPr>
            <sz val="9"/>
            <color indexed="81"/>
            <rFont val="Tahoma"/>
            <family val="2"/>
          </rPr>
          <t xml:space="preserve">. </t>
        </r>
        <r>
          <rPr>
            <sz val="9"/>
            <color indexed="81"/>
            <rFont val="돋움"/>
            <family val="3"/>
            <charset val="129"/>
          </rPr>
          <t>잘못봐서</t>
        </r>
        <r>
          <rPr>
            <sz val="9"/>
            <color indexed="81"/>
            <rFont val="Tahoma"/>
            <family val="2"/>
          </rPr>
          <t xml:space="preserve"> ID </t>
        </r>
        <r>
          <rPr>
            <sz val="9"/>
            <color indexed="81"/>
            <rFont val="돋움"/>
            <family val="3"/>
            <charset val="129"/>
          </rPr>
          <t>체계가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혼동하지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것</t>
        </r>
      </text>
    </comment>
  </commentList>
</comments>
</file>

<file path=xl/comments4.xml><?xml version="1.0" encoding="utf-8"?>
<comments xmlns="http://schemas.openxmlformats.org/spreadsheetml/2006/main">
  <authors>
    <author>Author</author>
  </authors>
  <commentList>
    <comment ref="N2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
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일산테크노밸리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EC45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M45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V45" authorId="0" shapeId="0">
      <text>
        <r>
          <rPr>
            <b/>
            <sz val="9"/>
            <color indexed="81"/>
            <rFont val="Tahoma"/>
            <family val="2"/>
          </rPr>
          <t xml:space="preserve">Author:
</t>
        </r>
        <r>
          <rPr>
            <b/>
            <sz val="9"/>
            <color indexed="81"/>
            <rFont val="돋움"/>
            <family val="3"/>
            <charset val="129"/>
          </rPr>
          <t>사업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장래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발생량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및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도착량으로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B177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여객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화물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교통영향평가에서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추정한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대수를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사용하였음</t>
        </r>
      </text>
    </comment>
    <comment ref="C283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283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comments5.xml><?xml version="1.0" encoding="utf-8"?>
<comments xmlns="http://schemas.openxmlformats.org/spreadsheetml/2006/main">
  <authors>
    <author>Author</author>
  </authors>
  <commentList>
    <comment ref="B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장래년도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통행량에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배포</t>
        </r>
        <r>
          <rPr>
            <sz val="9"/>
            <color indexed="81"/>
            <rFont val="Tahoma"/>
            <family val="2"/>
          </rPr>
          <t xml:space="preserve"> OD </t>
        </r>
        <r>
          <rPr>
            <sz val="9"/>
            <color indexed="81"/>
            <rFont val="돋움"/>
            <family val="3"/>
            <charset val="129"/>
          </rPr>
          <t>기준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고양시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A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버스와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승용차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택시의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동일</t>
        </r>
      </text>
    </comment>
  </commentList>
</comments>
</file>

<file path=xl/comments6.xml><?xml version="1.0" encoding="utf-8"?>
<comments xmlns="http://schemas.openxmlformats.org/spreadsheetml/2006/main">
  <authors>
    <author>Author</author>
  </authors>
  <commentList>
    <comment ref="K1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적용되어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이동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지역별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산출</t>
        </r>
      </text>
    </comment>
  </commentList>
</comments>
</file>

<file path=xl/comments7.xml><?xml version="1.0" encoding="utf-8"?>
<comments xmlns="http://schemas.openxmlformats.org/spreadsheetml/2006/main">
  <authors>
    <author>Author</author>
  </authors>
  <commentList>
    <comment ref="A1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증가량은</t>
        </r>
        <r>
          <rPr>
            <sz val="9"/>
            <color indexed="81"/>
            <rFont val="Tahoma"/>
            <family val="2"/>
          </rPr>
          <t xml:space="preserve"> 
(</t>
        </r>
        <r>
          <rPr>
            <sz val="9"/>
            <color indexed="81"/>
            <rFont val="돋움"/>
            <family val="3"/>
            <charset val="129"/>
          </rPr>
          <t>장항공공주택지구로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</t>
        </r>
        <r>
          <rPr>
            <sz val="9"/>
            <color indexed="81"/>
            <rFont val="Tahoma"/>
            <family val="2"/>
          </rPr>
          <t xml:space="preserve">)
</t>
        </r>
        <r>
          <rPr>
            <sz val="9"/>
            <color indexed="81"/>
            <rFont val="돋움"/>
            <family val="3"/>
            <charset val="129"/>
          </rPr>
          <t>이라고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가정
</t>
        </r>
        <r>
          <rPr>
            <sz val="9"/>
            <color indexed="81"/>
            <rFont val="Tahoma"/>
            <family val="2"/>
          </rPr>
          <t>25</t>
        </r>
        <r>
          <rPr>
            <sz val="9"/>
            <color indexed="81"/>
            <rFont val="돋움"/>
            <family val="3"/>
            <charset val="129"/>
          </rPr>
          <t>년까지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입주가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완료되었기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>, 
30</t>
        </r>
        <r>
          <rPr>
            <sz val="9"/>
            <color indexed="81"/>
            <rFont val="돋움"/>
            <family val="3"/>
            <charset val="129"/>
          </rPr>
          <t>년부터</t>
        </r>
        <r>
          <rPr>
            <sz val="9"/>
            <color indexed="81"/>
            <rFont val="Tahoma"/>
            <family val="2"/>
          </rPr>
          <t xml:space="preserve"> 50</t>
        </r>
        <r>
          <rPr>
            <sz val="9"/>
            <color indexed="81"/>
            <rFont val="돋움"/>
            <family val="3"/>
            <charset val="129"/>
          </rPr>
          <t>년까지는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장항공공주택지구의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반영하여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적용
</t>
        </r>
        <r>
          <rPr>
            <sz val="9"/>
            <color indexed="81"/>
            <rFont val="Tahoma"/>
            <family val="2"/>
          </rPr>
          <t xml:space="preserve">&amp;&amp;&amp;
</t>
        </r>
        <r>
          <rPr>
            <sz val="9"/>
            <color indexed="81"/>
            <rFont val="돋움"/>
            <family val="3"/>
            <charset val="129"/>
          </rPr>
          <t>일산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동구에는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 xml:space="preserve"> 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개발계획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계획이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</text>
    </comment>
  </commentList>
</comments>
</file>

<file path=xl/comments8.xml><?xml version="1.0" encoding="utf-8"?>
<comments xmlns="http://schemas.openxmlformats.org/spreadsheetml/2006/main">
  <authors>
    <author>Author</author>
  </authors>
  <commentLis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C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sharedStrings.xml><?xml version="1.0" encoding="utf-8"?>
<sst xmlns="http://schemas.openxmlformats.org/spreadsheetml/2006/main" count="6932" uniqueCount="902">
  <si>
    <t>pp-68</t>
    <phoneticPr fontId="2" type="noConversion"/>
  </si>
  <si>
    <t>구분</t>
  </si>
  <si>
    <r>
      <t>세대수</t>
    </r>
    <r>
      <rPr>
        <b/>
        <sz val="10"/>
        <color rgb="FF000000"/>
        <rFont val="맑은 고딕"/>
        <family val="3"/>
        <charset val="129"/>
        <scheme val="minor"/>
      </rPr>
      <t>,</t>
    </r>
  </si>
  <si>
    <t>부지면적</t>
  </si>
  <si>
    <r>
      <t>(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</si>
  <si>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원단위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</si>
  <si>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/1,000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</si>
  <si>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활동인구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</si>
  <si>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일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</si>
  <si>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상근인구</t>
  </si>
  <si>
    <t>이용인구</t>
  </si>
  <si>
    <t>합계</t>
  </si>
  <si>
    <t>단독주택</t>
  </si>
  <si>
    <t>근린생활시설</t>
  </si>
  <si>
    <t>판매시설</t>
  </si>
  <si>
    <t>지식기반시설</t>
  </si>
  <si>
    <t>연구시설</t>
  </si>
  <si>
    <t>첨단제조시설</t>
  </si>
  <si>
    <t>복합</t>
  </si>
  <si>
    <t>용지</t>
  </si>
  <si>
    <t>시설</t>
  </si>
  <si>
    <t>계</t>
  </si>
  <si>
    <t>-</t>
  </si>
  <si>
    <t>업무시설</t>
  </si>
  <si>
    <t>지원시설</t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</si>
  <si>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</si>
  <si>
    <t>총 계</t>
  </si>
  <si>
    <t>구분</t>
    <phoneticPr fontId="2" type="noConversion"/>
  </si>
  <si>
    <t>■ 기준년도 용도별 활동인구 예측(2020년 기준)</t>
    <phoneticPr fontId="2" type="noConversion"/>
  </si>
  <si>
    <t>활 동 인 구</t>
  </si>
  <si>
    <r>
      <t>2025</t>
    </r>
    <r>
      <rPr>
        <b/>
        <sz val="10"/>
        <color rgb="FF000000"/>
        <rFont val="휴먼고딕"/>
        <charset val="129"/>
      </rPr>
      <t>년</t>
    </r>
  </si>
  <si>
    <r>
      <t>2029</t>
    </r>
    <r>
      <rPr>
        <b/>
        <sz val="10"/>
        <color rgb="FF000000"/>
        <rFont val="휴먼고딕"/>
        <charset val="129"/>
      </rPr>
      <t>년</t>
    </r>
  </si>
  <si>
    <t>■ 장래 목표연도 활동인구 예측결과</t>
    <phoneticPr fontId="2" type="noConversion"/>
  </si>
  <si>
    <t>pp-69</t>
    <phoneticPr fontId="2" type="noConversion"/>
  </si>
  <si>
    <t>구분</t>
    <phoneticPr fontId="2" type="noConversion"/>
  </si>
  <si>
    <t>인당 목적통행비</t>
    <phoneticPr fontId="2" type="noConversion"/>
  </si>
  <si>
    <t>상근인구</t>
    <phoneticPr fontId="2" type="noConversion"/>
  </si>
  <si>
    <t>이용인구</t>
    <phoneticPr fontId="2" type="noConversion"/>
  </si>
  <si>
    <t>통행/인</t>
  </si>
  <si>
    <t>구 분</t>
  </si>
  <si>
    <t>유입</t>
  </si>
  <si>
    <t>유출</t>
  </si>
  <si>
    <r>
      <t xml:space="preserve">21:00 </t>
    </r>
    <r>
      <rPr>
        <sz val="10"/>
        <color rgb="FF000000"/>
        <rFont val="휴먼고딕"/>
        <charset val="129"/>
      </rPr>
      <t>이후</t>
    </r>
  </si>
  <si>
    <t>연구시설</t>
    <phoneticPr fontId="2" type="noConversion"/>
  </si>
  <si>
    <t>통근</t>
  </si>
  <si>
    <t>통학</t>
  </si>
  <si>
    <t>기타</t>
  </si>
  <si>
    <t>도시지원시설</t>
  </si>
  <si>
    <t>화물 통행량 2025</t>
    <phoneticPr fontId="2" type="noConversion"/>
  </si>
  <si>
    <t>시간대</t>
  </si>
  <si>
    <t>소형</t>
  </si>
  <si>
    <t>　중형</t>
  </si>
  <si>
    <t>대형</t>
  </si>
  <si>
    <t>　합계</t>
  </si>
  <si>
    <r>
      <t>07</t>
    </r>
    <r>
      <rPr>
        <sz val="10"/>
        <color rgb="FF000000"/>
        <rFont val="휴먼고딕"/>
        <charset val="129"/>
      </rPr>
      <t>시 이전</t>
    </r>
  </si>
  <si>
    <t>07:00~08:00</t>
  </si>
  <si>
    <t>08:00~09:00</t>
  </si>
  <si>
    <t>09:00~10:00</t>
  </si>
  <si>
    <t>10:00~11:00</t>
  </si>
  <si>
    <t>11:00~12:00</t>
  </si>
  <si>
    <t>12:00~13:00</t>
  </si>
  <si>
    <t>13:00~14:00</t>
  </si>
  <si>
    <t>14:00~15:00</t>
  </si>
  <si>
    <t>15:00~16:00</t>
  </si>
  <si>
    <t>16:00~17:00</t>
  </si>
  <si>
    <t>17:00~18:00</t>
  </si>
  <si>
    <t>18:00~19:00</t>
  </si>
  <si>
    <t>19:00~20:00</t>
  </si>
  <si>
    <t>20:00~21:00</t>
  </si>
  <si>
    <t>■ 시간대별 차종별 화물 발생교통량</t>
    <phoneticPr fontId="2" type="noConversion"/>
  </si>
  <si>
    <t>통행 발생량과 통행 도착량은 동일</t>
    <phoneticPr fontId="2" type="noConversion"/>
  </si>
  <si>
    <t>■ 장래 목표연도 1일 총 통행량 예측</t>
    <phoneticPr fontId="2" type="noConversion"/>
  </si>
  <si>
    <t>통행 발생량 + 통행 도착량</t>
    <phoneticPr fontId="2" type="noConversion"/>
  </si>
  <si>
    <t>A1</t>
    <phoneticPr fontId="2" type="noConversion"/>
  </si>
  <si>
    <t>면적</t>
    <phoneticPr fontId="2" type="noConversion"/>
  </si>
  <si>
    <t>B1</t>
    <phoneticPr fontId="2" type="noConversion"/>
  </si>
  <si>
    <t>B2</t>
  </si>
  <si>
    <t>B2</t>
    <phoneticPr fontId="2" type="noConversion"/>
  </si>
  <si>
    <t>C1</t>
    <phoneticPr fontId="2" type="noConversion"/>
  </si>
  <si>
    <t>C2</t>
  </si>
  <si>
    <t>C2</t>
    <phoneticPr fontId="2" type="noConversion"/>
  </si>
  <si>
    <t>D2</t>
    <phoneticPr fontId="2" type="noConversion"/>
  </si>
  <si>
    <t>D3</t>
    <phoneticPr fontId="2" type="noConversion"/>
  </si>
  <si>
    <t>D5</t>
    <phoneticPr fontId="2" type="noConversion"/>
  </si>
  <si>
    <t>D6</t>
  </si>
  <si>
    <t>D1</t>
    <phoneticPr fontId="2" type="noConversion"/>
  </si>
  <si>
    <t>D2</t>
    <phoneticPr fontId="2" type="noConversion"/>
  </si>
  <si>
    <t>D3</t>
    <phoneticPr fontId="2" type="noConversion"/>
  </si>
  <si>
    <t>D4</t>
    <phoneticPr fontId="2" type="noConversion"/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</si>
  <si>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</si>
  <si>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</si>
  <si>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</si>
  <si>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</si>
  <si>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</si>
  <si>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</si>
  <si>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</si>
  <si>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</si>
  <si>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</si>
  <si>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</si>
  <si>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</si>
  <si>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</si>
  <si>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</si>
  <si>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F1</t>
    <phoneticPr fontId="2" type="noConversion"/>
  </si>
  <si>
    <t>F2</t>
  </si>
  <si>
    <t>F3</t>
  </si>
  <si>
    <t>G1</t>
    <phoneticPr fontId="2" type="noConversion"/>
  </si>
  <si>
    <t>G2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</si>
  <si>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</si>
  <si>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</si>
  <si>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</si>
  <si>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</si>
  <si>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E</t>
    <phoneticPr fontId="2" type="noConversion"/>
  </si>
  <si>
    <t>F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</si>
  <si>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</si>
  <si>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</si>
  <si>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</si>
  <si>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F1</t>
    <phoneticPr fontId="2" type="noConversion"/>
  </si>
  <si>
    <t>F4</t>
  </si>
  <si>
    <t>F5</t>
  </si>
  <si>
    <t>F6</t>
  </si>
  <si>
    <t>G</t>
    <phoneticPr fontId="2" type="noConversion"/>
  </si>
  <si>
    <t>G1</t>
    <phoneticPr fontId="2" type="noConversion"/>
  </si>
  <si>
    <t>G2</t>
    <phoneticPr fontId="2" type="noConversion"/>
  </si>
  <si>
    <t>G3</t>
    <phoneticPr fontId="2" type="noConversion"/>
  </si>
  <si>
    <t>H</t>
    <phoneticPr fontId="2" type="noConversion"/>
  </si>
  <si>
    <t>H1</t>
    <phoneticPr fontId="2" type="noConversion"/>
  </si>
  <si>
    <t>H2</t>
    <phoneticPr fontId="2" type="noConversion"/>
  </si>
  <si>
    <t>I1</t>
    <phoneticPr fontId="2" type="noConversion"/>
  </si>
  <si>
    <t>I2</t>
    <phoneticPr fontId="2" type="noConversion"/>
  </si>
  <si>
    <t>I</t>
    <phoneticPr fontId="2" type="noConversion"/>
  </si>
  <si>
    <t>I3</t>
  </si>
  <si>
    <t>I4</t>
  </si>
  <si>
    <t>I5</t>
  </si>
  <si>
    <t>I6</t>
  </si>
  <si>
    <t>I7</t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</si>
  <si>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</si>
  <si>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</si>
  <si>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</si>
  <si>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판매시설</t>
    <phoneticPr fontId="2" type="noConversion"/>
  </si>
  <si>
    <t>지식기반시설</t>
    <phoneticPr fontId="2" type="noConversion"/>
  </si>
  <si>
    <t>지식기반시설</t>
    <phoneticPr fontId="2" type="noConversion"/>
  </si>
  <si>
    <t>첨단제조시설</t>
    <phoneticPr fontId="2" type="noConversion"/>
  </si>
  <si>
    <t>복합</t>
    <phoneticPr fontId="2" type="noConversion"/>
  </si>
  <si>
    <t>복합지원</t>
    <phoneticPr fontId="2" type="noConversion"/>
  </si>
  <si>
    <t>지원시설</t>
    <phoneticPr fontId="2" type="noConversion"/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</si>
  <si>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</si>
  <si>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주차장(근린생활시설)</t>
    <phoneticPr fontId="2" type="noConversion"/>
  </si>
  <si>
    <t>용도시설</t>
    <phoneticPr fontId="2" type="noConversion"/>
  </si>
  <si>
    <t>ID</t>
    <phoneticPr fontId="2" type="noConversion"/>
  </si>
  <si>
    <t>파일 경로</t>
    <phoneticPr fontId="2" type="noConversion"/>
  </si>
  <si>
    <t>Z:\02_Completed_Works\2021W12-킨텍스교차로개선사업-211026\2021W12-99-Reference\관련_계획\2021.고양 일산테크노밸리 도시개발사업 교통영향평가(케이지엔지니어링)</t>
  </si>
  <si>
    <t>02장 교통현황조사분석_초안(0826).hwp</t>
    <phoneticPr fontId="2" type="noConversion"/>
  </si>
  <si>
    <t>Z:\02_Completed_Works\2021W12-킨텍스교차로개선사업-211026\2021W12-99-Reference\관련_계획\2021.경기고양 방송영상밸리 도시개발사업 교통영향평가(삼안)</t>
  </si>
  <si>
    <t>파일경로 :</t>
    <phoneticPr fontId="2" type="noConversion"/>
  </si>
  <si>
    <t>경기 고양 영상밸리_수정의결보완서.hwp</t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</si>
  <si>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M1</t>
    </r>
  </si>
  <si>
    <t>승용차</t>
  </si>
  <si>
    <t>택시</t>
  </si>
  <si>
    <t>버스</t>
  </si>
  <si>
    <r>
      <t>도보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HY신명조"/>
        <family val="3"/>
        <charset val="129"/>
      </rPr>
      <t>기타</t>
    </r>
  </si>
  <si>
    <t>합 계</t>
  </si>
  <si>
    <r>
      <t xml:space="preserve">07:00 </t>
    </r>
    <r>
      <rPr>
        <sz val="10"/>
        <color rgb="FF000000"/>
        <rFont val="HY신명조"/>
        <family val="3"/>
        <charset val="129"/>
      </rPr>
      <t>이전</t>
    </r>
  </si>
  <si>
    <r>
      <t xml:space="preserve">21:00 </t>
    </r>
    <r>
      <rPr>
        <sz val="10"/>
        <color rgb="FF000000"/>
        <rFont val="HY신명조"/>
        <family val="3"/>
        <charset val="129"/>
      </rPr>
      <t>이후</t>
    </r>
  </si>
  <si>
    <t>평균재차인원</t>
  </si>
  <si>
    <t>공동주택</t>
  </si>
  <si>
    <t>상주인구</t>
  </si>
  <si>
    <t>방문인구</t>
  </si>
  <si>
    <t>상업시설</t>
  </si>
  <si>
    <t>방송시설</t>
  </si>
  <si>
    <t>일반업무시설</t>
  </si>
  <si>
    <t>공공업무시설</t>
  </si>
  <si>
    <t>학교시설</t>
  </si>
  <si>
    <t>&lt;표 3-&gt; 시설별 ·차종별 평균재차인원 산정</t>
    <phoneticPr fontId="2" type="noConversion"/>
  </si>
  <si>
    <r>
      <t>2024</t>
    </r>
    <r>
      <rPr>
        <b/>
        <sz val="9"/>
        <color rgb="FF000000"/>
        <rFont val="HY신명조"/>
        <family val="3"/>
        <charset val="129"/>
      </rPr>
      <t>년</t>
    </r>
  </si>
  <si>
    <t>택 시</t>
  </si>
  <si>
    <t>구 분</t>
    <phoneticPr fontId="2" type="noConversion"/>
  </si>
  <si>
    <t>&lt;표 3-&gt; 시간대별 유출입 통행량(주거시설, 2024년)</t>
    <phoneticPr fontId="2" type="noConversion"/>
  </si>
  <si>
    <t>구 분</t>
    <phoneticPr fontId="2" type="noConversion"/>
  </si>
  <si>
    <t>(단위 : 통행/시, 통행/일)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</si>
  <si>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M2</t>
    </r>
  </si>
  <si>
    <t>&lt;표 3-&gt; 장래 시간대별 발생교통량(주거시설, M1)</t>
    <phoneticPr fontId="2" type="noConversion"/>
  </si>
  <si>
    <r>
      <t>2024</t>
    </r>
    <r>
      <rPr>
        <b/>
        <sz val="10"/>
        <color rgb="FF000000"/>
        <rFont val="HY신명조"/>
        <family val="3"/>
        <charset val="129"/>
      </rPr>
      <t>년</t>
    </r>
  </si>
  <si>
    <t>&lt;표 3-&gt; 장래 시간대별 발생교통량(주거시설, M2)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</si>
  <si>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M3</t>
    </r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</si>
  <si>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M4</t>
    </r>
  </si>
  <si>
    <t>&lt;표 3-&gt; 장래 시간대별 발생교통량(주거시설, M3)</t>
    <phoneticPr fontId="2" type="noConversion"/>
  </si>
  <si>
    <t xml:space="preserve">&lt;표 3-&gt; 장래 시간대별 발생교통량(주거시설, M4)
</t>
    <phoneticPr fontId="2" type="noConversion"/>
  </si>
  <si>
    <t>&lt;표 3-&gt; 장래 시간대별 발생교통량(주거시설, 단독주택)</t>
    <phoneticPr fontId="2" type="noConversion"/>
  </si>
  <si>
    <t>버스는 노선버스로 가정</t>
    <phoneticPr fontId="2" type="noConversion"/>
  </si>
  <si>
    <t>시내버스 재차인원</t>
    <phoneticPr fontId="2" type="noConversion"/>
  </si>
  <si>
    <t>경기도</t>
    <phoneticPr fontId="2" type="noConversion"/>
  </si>
  <si>
    <t>재차인원</t>
    <phoneticPr fontId="2" type="noConversion"/>
  </si>
  <si>
    <t>pp-194</t>
    <phoneticPr fontId="2" type="noConversion"/>
  </si>
  <si>
    <t>KTDB, 수도권 설명자료</t>
    <phoneticPr fontId="2" type="noConversion"/>
  </si>
  <si>
    <t>pp-37</t>
    <phoneticPr fontId="2" type="noConversion"/>
  </si>
  <si>
    <t>&lt;표 3-&gt; 교통수단별 통행량 예측(주거시설, 2024년)</t>
    <phoneticPr fontId="2" type="noConversion"/>
  </si>
  <si>
    <r>
      <t>(</t>
    </r>
    <r>
      <rPr>
        <sz val="9"/>
        <color rgb="FF000000"/>
        <rFont val="HY신명조"/>
        <family val="3"/>
        <charset val="129"/>
      </rPr>
      <t xml:space="preserve">단위 </t>
    </r>
    <r>
      <rPr>
        <sz val="9"/>
        <color rgb="FF000000"/>
        <rFont val="맑은 고딕"/>
        <family val="3"/>
        <charset val="129"/>
        <scheme val="minor"/>
      </rPr>
      <t xml:space="preserve">: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시</t>
    </r>
    <r>
      <rPr>
        <sz val="9"/>
        <color rgb="FF000000"/>
        <rFont val="맑은 고딕"/>
        <family val="3"/>
        <charset val="129"/>
        <scheme val="minor"/>
      </rPr>
      <t xml:space="preserve">,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일</t>
    </r>
    <r>
      <rPr>
        <sz val="9"/>
        <color rgb="FF000000"/>
        <rFont val="맑은 고딕"/>
        <family val="3"/>
        <charset val="129"/>
        <scheme val="minor"/>
      </rPr>
      <t>)</t>
    </r>
  </si>
  <si>
    <t>주상복합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</si>
  <si>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</si>
  <si>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</si>
  <si>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</si>
  <si>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</si>
  <si>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단독주택</t>
    <phoneticPr fontId="2" type="noConversion"/>
  </si>
  <si>
    <t>&lt;표 3-&gt; 교통수단별 통행량 예측(비주거시설, 2024년)</t>
    <phoneticPr fontId="2" type="noConversion"/>
  </si>
  <si>
    <t>(단위 : 통행/시, 통행/일)</t>
    <phoneticPr fontId="2" type="noConversion"/>
  </si>
  <si>
    <t>구분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</si>
  <si>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</si>
  <si>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</si>
  <si>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</si>
  <si>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</si>
  <si>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</si>
  <si>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</si>
  <si>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&lt;표 3-&gt; 장래 시간대별 발생교통량(주거시설, M1)</t>
    <phoneticPr fontId="2" type="noConversion"/>
  </si>
  <si>
    <t>pp-195</t>
    <phoneticPr fontId="2" type="noConversion"/>
  </si>
  <si>
    <t>pp-182</t>
    <phoneticPr fontId="2" type="noConversion"/>
  </si>
  <si>
    <t>2024년</t>
    <phoneticPr fontId="2" type="noConversion"/>
  </si>
  <si>
    <t>용도시설</t>
    <phoneticPr fontId="2" type="noConversion"/>
  </si>
  <si>
    <t>A2</t>
    <phoneticPr fontId="2" type="noConversion"/>
  </si>
  <si>
    <t>상업시설</t>
    <phoneticPr fontId="2" type="noConversion"/>
  </si>
  <si>
    <t>상업시설</t>
    <phoneticPr fontId="2" type="noConversion"/>
  </si>
  <si>
    <t>B3</t>
  </si>
  <si>
    <t>B4</t>
  </si>
  <si>
    <t>C1</t>
    <phoneticPr fontId="2" type="noConversion"/>
  </si>
  <si>
    <t>C3</t>
  </si>
  <si>
    <t>도시지원시설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</si>
  <si>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</si>
  <si>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</si>
  <si>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</si>
  <si>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</si>
  <si>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</si>
  <si>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</si>
  <si>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근린생황시설</t>
    <phoneticPr fontId="2" type="noConversion"/>
  </si>
  <si>
    <t>H1</t>
    <phoneticPr fontId="2" type="noConversion"/>
  </si>
  <si>
    <t>: 수도권 재차인원 반영 추정대수</t>
    <phoneticPr fontId="2" type="noConversion"/>
  </si>
  <si>
    <t>통행량</t>
    <phoneticPr fontId="2" type="noConversion"/>
  </si>
  <si>
    <t>작성 요망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</si>
  <si>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</si>
  <si>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01_2. 변경심의 보고서(191108)-최종.hwp</t>
  </si>
  <si>
    <t>pp-7</t>
    <phoneticPr fontId="2" type="noConversion"/>
  </si>
  <si>
    <t xml:space="preserve">파일경로 : </t>
    <phoneticPr fontId="2" type="noConversion"/>
  </si>
  <si>
    <t>X:\00_TLSYSLAB_Mighty_Drive\2021W12-킨텍스교차로개선사업-211026\2021W12-99-Reference\01 관련자료(lh)\★211013_교평변경신고_최종보고서</t>
  </si>
  <si>
    <t>고양장항 공공주택지구 교통영향평가 변경신고(통합보고서).pdf</t>
    <phoneticPr fontId="2" type="noConversion"/>
  </si>
  <si>
    <t>토지이용계획도</t>
    <phoneticPr fontId="2" type="noConversion"/>
  </si>
  <si>
    <t>통행량</t>
    <phoneticPr fontId="2" type="noConversion"/>
  </si>
  <si>
    <t>2로 나눠야됨</t>
    <phoneticPr fontId="2" type="noConversion"/>
  </si>
  <si>
    <t>(단위 : 통행/일)</t>
    <phoneticPr fontId="2" type="noConversion"/>
  </si>
  <si>
    <t>도보 및 기타</t>
  </si>
  <si>
    <t>주거시설</t>
  </si>
  <si>
    <t>산업시설</t>
  </si>
  <si>
    <t>지원 및 상업시설</t>
  </si>
  <si>
    <t>기타시설</t>
  </si>
  <si>
    <t>구 분</t>
    <phoneticPr fontId="2" type="noConversion"/>
  </si>
  <si>
    <t>■ 주교통수단별 통행분담율 예측</t>
    <phoneticPr fontId="2" type="noConversion"/>
  </si>
  <si>
    <t>pp-78</t>
    <phoneticPr fontId="2" type="noConversion"/>
  </si>
  <si>
    <t>(단위 : %)</t>
    <phoneticPr fontId="2" type="noConversion"/>
  </si>
  <si>
    <t>재차인원</t>
  </si>
  <si>
    <t>■ 유사시설 차량당 평균재차인원</t>
    <phoneticPr fontId="2" type="noConversion"/>
  </si>
  <si>
    <t>(단위 : 인/대)</t>
    <phoneticPr fontId="2" type="noConversion"/>
  </si>
  <si>
    <t>노선버스</t>
    <phoneticPr fontId="2" type="noConversion"/>
  </si>
  <si>
    <t>비노선버스</t>
    <phoneticPr fontId="2" type="noConversion"/>
  </si>
  <si>
    <t>수도권 기초자료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</si>
  <si>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</si>
  <si>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</si>
  <si>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</si>
  <si>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도보 및 기타</t>
    <phoneticPr fontId="2" type="noConversion"/>
  </si>
  <si>
    <t>계</t>
    <phoneticPr fontId="2" type="noConversion"/>
  </si>
  <si>
    <t>상근인구</t>
    <phoneticPr fontId="2" type="noConversion"/>
  </si>
  <si>
    <t>이용인구</t>
    <phoneticPr fontId="2" type="noConversion"/>
  </si>
  <si>
    <t>2025년</t>
    <phoneticPr fontId="2" type="noConversion"/>
  </si>
  <si>
    <t>복합
용지
시설</t>
    <phoneticPr fontId="2" type="noConversion"/>
  </si>
  <si>
    <r>
      <t>주차장</t>
    </r>
    <r>
      <rPr>
        <b/>
        <sz val="10"/>
        <color rgb="FF000000"/>
        <rFont val="맑은 고딕"/>
        <family val="3"/>
        <charset val="129"/>
        <scheme val="minor"/>
      </rPr>
      <t>(</t>
    </r>
    <r>
      <rPr>
        <b/>
        <sz val="10"/>
        <color rgb="FF000000"/>
        <rFont val="휴먼고딕"/>
        <charset val="129"/>
      </rPr>
      <t>근린생활시설</t>
    </r>
    <r>
      <rPr>
        <b/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</si>
  <si>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2029년</t>
    <phoneticPr fontId="2" type="noConversion"/>
  </si>
  <si>
    <t>수단별 통행량(2025년)</t>
    <phoneticPr fontId="2" type="noConversion"/>
  </si>
  <si>
    <t>구역이 1개이므로, 교통영향평가에서 
산출한 통행량 사용</t>
    <phoneticPr fontId="2" type="noConversion"/>
  </si>
  <si>
    <t>pp-70</t>
    <phoneticPr fontId="2" type="noConversion"/>
  </si>
  <si>
    <t>(단위 : 인/일)</t>
    <phoneticPr fontId="2" type="noConversion"/>
  </si>
  <si>
    <t>pp-80</t>
    <phoneticPr fontId="2" type="noConversion"/>
  </si>
  <si>
    <t>질문사항</t>
    <phoneticPr fontId="2" type="noConversion"/>
  </si>
  <si>
    <t>수단별 통행량(2029년)</t>
    <phoneticPr fontId="2" type="noConversion"/>
  </si>
  <si>
    <t>블록 면적의 합</t>
    <phoneticPr fontId="2" type="noConversion"/>
  </si>
  <si>
    <t>A1</t>
    <phoneticPr fontId="2" type="noConversion"/>
  </si>
  <si>
    <t>A2</t>
    <phoneticPr fontId="2" type="noConversion"/>
  </si>
  <si>
    <t>H1</t>
    <phoneticPr fontId="2" type="noConversion"/>
  </si>
  <si>
    <t>H2</t>
    <phoneticPr fontId="2" type="noConversion"/>
  </si>
  <si>
    <t>방문</t>
  </si>
  <si>
    <t>인구</t>
  </si>
  <si>
    <t>상근</t>
  </si>
  <si>
    <t>이용</t>
  </si>
  <si>
    <r>
      <t>2023</t>
    </r>
    <r>
      <rPr>
        <sz val="10"/>
        <color rgb="FF000000"/>
        <rFont val="가는둥근제목체"/>
        <family val="3"/>
        <charset val="129"/>
      </rPr>
      <t>년</t>
    </r>
  </si>
  <si>
    <t>주택</t>
  </si>
  <si>
    <t>건설</t>
  </si>
  <si>
    <t>단독</t>
  </si>
  <si>
    <t>소계</t>
  </si>
  <si>
    <t>일반</t>
  </si>
  <si>
    <t>공동</t>
  </si>
  <si>
    <t>아파트</t>
  </si>
  <si>
    <r>
      <t>60</t>
    </r>
    <r>
      <rPr>
        <sz val="10"/>
        <color rgb="FF000000"/>
        <rFont val="가는둥근제목체"/>
        <family val="3"/>
        <charset val="129"/>
      </rPr>
      <t>㎡이하</t>
    </r>
  </si>
  <si>
    <r>
      <t>60</t>
    </r>
    <r>
      <rPr>
        <sz val="10"/>
        <color rgb="FF000000"/>
        <rFont val="가는둥근제목체"/>
        <family val="3"/>
        <charset val="129"/>
      </rPr>
      <t>㎡∼</t>
    </r>
    <r>
      <rPr>
        <sz val="10"/>
        <color rgb="FF000000"/>
        <rFont val="맑은 고딕"/>
        <family val="3"/>
        <charset val="129"/>
        <scheme val="minor"/>
      </rPr>
      <t>85</t>
    </r>
    <r>
      <rPr>
        <sz val="10"/>
        <color rgb="FF000000"/>
        <rFont val="가는둥근제목체"/>
        <family val="3"/>
        <charset val="129"/>
      </rPr>
      <t>㎡</t>
    </r>
  </si>
  <si>
    <t>주상</t>
  </si>
  <si>
    <r>
      <t>85</t>
    </r>
    <r>
      <rPr>
        <sz val="10"/>
        <color rgb="FF000000"/>
        <rFont val="가는둥근제목체"/>
        <family val="3"/>
        <charset val="129"/>
      </rPr>
      <t>㎡초과</t>
    </r>
  </si>
  <si>
    <t>공공</t>
  </si>
  <si>
    <t>상업업무시설</t>
  </si>
  <si>
    <t>교육시설</t>
  </si>
  <si>
    <t>공공청사</t>
  </si>
  <si>
    <t>종교시설</t>
  </si>
  <si>
    <t>복합커뮤니티시설</t>
  </si>
  <si>
    <r>
      <t>2027</t>
    </r>
    <r>
      <rPr>
        <sz val="10"/>
        <color rgb="FF000000"/>
        <rFont val="가는둥근제목체"/>
        <family val="3"/>
        <charset val="129"/>
      </rPr>
      <t>년</t>
    </r>
  </si>
  <si>
    <t>구 분</t>
    <phoneticPr fontId="2" type="noConversion"/>
  </si>
  <si>
    <t>&lt; 표 3- &gt; 장래 통행목적별 통행발생량 예측결과</t>
    <phoneticPr fontId="2" type="noConversion"/>
  </si>
  <si>
    <r>
      <t>목적통행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가는둥근제목체"/>
        <family val="3"/>
        <charset val="129"/>
      </rPr>
      <t>통행</t>
    </r>
    <r>
      <rPr>
        <sz val="10"/>
        <color rgb="FF000000"/>
        <rFont val="맑은 고딕"/>
        <family val="3"/>
        <charset val="129"/>
        <scheme val="minor"/>
      </rPr>
      <t>/</t>
    </r>
    <r>
      <rPr>
        <sz val="10"/>
        <color rgb="FF000000"/>
        <rFont val="가는둥근제목체"/>
        <family val="3"/>
        <charset val="129"/>
      </rPr>
      <t>일</t>
    </r>
    <r>
      <rPr>
        <sz val="10"/>
        <color rgb="FF000000"/>
        <rFont val="맑은 고딕"/>
        <family val="3"/>
        <charset val="129"/>
        <scheme val="minor"/>
      </rPr>
      <t>)</t>
    </r>
  </si>
  <si>
    <r>
      <t>구성 비율</t>
    </r>
    <r>
      <rPr>
        <sz val="10"/>
        <color rgb="FF000000"/>
        <rFont val="맑은 고딕"/>
        <family val="3"/>
        <charset val="129"/>
        <scheme val="minor"/>
      </rPr>
      <t>(%)</t>
    </r>
  </si>
  <si>
    <t>구분</t>
    <phoneticPr fontId="2" type="noConversion"/>
  </si>
  <si>
    <t>&lt; 표 3- &gt; 통행목적별 구성비</t>
    <phoneticPr fontId="2" type="noConversion"/>
  </si>
  <si>
    <t>주거</t>
  </si>
  <si>
    <t>상주</t>
  </si>
  <si>
    <t>근린</t>
  </si>
  <si>
    <t>생활</t>
  </si>
  <si>
    <t>(단위 : 통행/일)</t>
    <phoneticPr fontId="2" type="noConversion"/>
  </si>
  <si>
    <t>&lt; 표 3- &gt; 장래 수단분담률 예측결과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</si>
  <si>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</si>
  <si>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</si>
  <si>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</si>
  <si>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아파트</t>
    <phoneticPr fontId="2" type="noConversion"/>
  </si>
  <si>
    <t>주상복합</t>
    <phoneticPr fontId="2" type="noConversion"/>
  </si>
  <si>
    <t>단독주택</t>
    <phoneticPr fontId="2" type="noConversion"/>
  </si>
  <si>
    <t>단독 or 공동</t>
    <phoneticPr fontId="2" type="noConversion"/>
  </si>
  <si>
    <t>근린생활시설</t>
    <phoneticPr fontId="2" type="noConversion"/>
  </si>
  <si>
    <t>주거용지</t>
    <phoneticPr fontId="2" type="noConversion"/>
  </si>
  <si>
    <t>방문인구</t>
    <phoneticPr fontId="2" type="noConversion"/>
  </si>
  <si>
    <t>상주인구</t>
    <phoneticPr fontId="2" type="noConversion"/>
  </si>
  <si>
    <t>이용인구</t>
    <phoneticPr fontId="2" type="noConversion"/>
  </si>
  <si>
    <t>2027년 수단별 통행량</t>
    <phoneticPr fontId="2" type="noConversion"/>
  </si>
  <si>
    <t>&lt; 표 3- &gt; 차종별 평균 재차인원</t>
    <phoneticPr fontId="2" type="noConversion"/>
  </si>
  <si>
    <t>2023년 수단별 통행량</t>
    <phoneticPr fontId="2" type="noConversion"/>
  </si>
  <si>
    <t>승용차</t>
    <phoneticPr fontId="2" type="noConversion"/>
  </si>
  <si>
    <t>택시</t>
    <phoneticPr fontId="2" type="noConversion"/>
  </si>
  <si>
    <t>2023년 수단별 통행량(수단 계)</t>
    <phoneticPr fontId="2" type="noConversion"/>
  </si>
  <si>
    <t>2027년 수단별 통행량(수단 계)</t>
    <phoneticPr fontId="2" type="noConversion"/>
  </si>
  <si>
    <t>2023년 수단별 통행량 (대/일)</t>
    <phoneticPr fontId="2" type="noConversion"/>
  </si>
  <si>
    <t>2027년 수단별 통행량(대/일)</t>
    <phoneticPr fontId="2" type="noConversion"/>
  </si>
  <si>
    <t>세대수,</t>
  </si>
  <si>
    <t>2025년</t>
  </si>
  <si>
    <t>2029년</t>
  </si>
  <si>
    <t>(세대, ㎡)</t>
  </si>
  <si>
    <t>■ 장래 목표연도 1일 총 통행량 예측</t>
    <phoneticPr fontId="2" type="noConversion"/>
  </si>
  <si>
    <t>통행 발생량 + 통행 도착량</t>
    <phoneticPr fontId="2" type="noConversion"/>
  </si>
  <si>
    <t>2로 나눠야됨</t>
    <phoneticPr fontId="2" type="noConversion"/>
  </si>
  <si>
    <t>구분</t>
    <phoneticPr fontId="2" type="noConversion"/>
  </si>
  <si>
    <t>통행량</t>
    <phoneticPr fontId="2" type="noConversion"/>
  </si>
  <si>
    <t>단독주택</t>
    <phoneticPr fontId="2" type="noConversion"/>
  </si>
  <si>
    <t>지식기반시설</t>
    <phoneticPr fontId="2" type="noConversion"/>
  </si>
  <si>
    <t>연구시설</t>
    <phoneticPr fontId="2" type="noConversion"/>
  </si>
  <si>
    <t>첨단제조시설</t>
    <phoneticPr fontId="2" type="noConversion"/>
  </si>
  <si>
    <t>지원시설</t>
    <phoneticPr fontId="2" type="noConversion"/>
  </si>
  <si>
    <t>주차장(근린생활시설)</t>
    <phoneticPr fontId="2" type="noConversion"/>
  </si>
  <si>
    <t>수단별 통행량(2025년) , 대/일</t>
    <phoneticPr fontId="2" type="noConversion"/>
  </si>
  <si>
    <t>수단별 발생량(2029년), 대/일</t>
    <phoneticPr fontId="2" type="noConversion"/>
  </si>
  <si>
    <t>버스</t>
    <phoneticPr fontId="2" type="noConversion"/>
  </si>
  <si>
    <t>버스</t>
    <phoneticPr fontId="2" type="noConversion"/>
  </si>
  <si>
    <t>A3</t>
  </si>
  <si>
    <t>A4</t>
  </si>
  <si>
    <t>A5</t>
  </si>
  <si>
    <t>A6</t>
  </si>
  <si>
    <t>A7</t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</si>
  <si>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</si>
  <si>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</si>
  <si>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</si>
  <si>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</si>
  <si>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F</t>
    <phoneticPr fontId="2" type="noConversion"/>
  </si>
  <si>
    <t>G</t>
    <phoneticPr fontId="2" type="noConversion"/>
  </si>
  <si>
    <t>아파트 60 이하</t>
    <phoneticPr fontId="2" type="noConversion"/>
  </si>
  <si>
    <t>B1</t>
    <phoneticPr fontId="2" type="noConversion"/>
  </si>
  <si>
    <t>B5</t>
  </si>
  <si>
    <t>B6</t>
  </si>
  <si>
    <t>아파트 60 이하 
+ 아파트 60-85</t>
    <phoneticPr fontId="2" type="noConversion"/>
  </si>
  <si>
    <t>아파트 60-85</t>
    <phoneticPr fontId="2" type="noConversion"/>
  </si>
  <si>
    <t>C1</t>
    <phoneticPr fontId="2" type="noConversion"/>
  </si>
  <si>
    <t>D1</t>
    <phoneticPr fontId="2" type="noConversion"/>
  </si>
  <si>
    <t>주상복합 60-85
+ 85 초과</t>
    <phoneticPr fontId="2" type="noConversion"/>
  </si>
  <si>
    <t>근린생활시설</t>
    <phoneticPr fontId="2" type="noConversion"/>
  </si>
  <si>
    <t>E1</t>
    <phoneticPr fontId="2" type="noConversion"/>
  </si>
  <si>
    <t>E2</t>
    <phoneticPr fontId="2" type="noConversion"/>
  </si>
  <si>
    <t>E3</t>
  </si>
  <si>
    <t>E4</t>
  </si>
  <si>
    <t>상업업무시설</t>
    <phoneticPr fontId="2" type="noConversion"/>
  </si>
  <si>
    <t>F1</t>
    <phoneticPr fontId="2" type="noConversion"/>
  </si>
  <si>
    <t>교육시설</t>
    <phoneticPr fontId="2" type="noConversion"/>
  </si>
  <si>
    <t>E</t>
    <phoneticPr fontId="2" type="noConversion"/>
  </si>
  <si>
    <t>G1</t>
    <phoneticPr fontId="2" type="noConversion"/>
  </si>
  <si>
    <t>공공청사</t>
    <phoneticPr fontId="2" type="noConversion"/>
  </si>
  <si>
    <t>H1</t>
    <phoneticPr fontId="2" type="noConversion"/>
  </si>
  <si>
    <t>종교시설</t>
    <phoneticPr fontId="2" type="noConversion"/>
  </si>
  <si>
    <t>I1</t>
    <phoneticPr fontId="2" type="noConversion"/>
  </si>
  <si>
    <t>I2</t>
  </si>
  <si>
    <t>복합커뮤니티시설</t>
    <phoneticPr fontId="2" type="noConversion"/>
  </si>
  <si>
    <t>J1</t>
    <phoneticPr fontId="2" type="noConversion"/>
  </si>
  <si>
    <t>도시지원시설</t>
    <phoneticPr fontId="2" type="noConversion"/>
  </si>
  <si>
    <t>K1</t>
    <phoneticPr fontId="2" type="noConversion"/>
  </si>
  <si>
    <t>K2</t>
  </si>
  <si>
    <t>Z:\02_Completed_Works\2021W12-킨텍스교차로개선사업-211026\2021W12-99-Reference\관련_계획\2020.씨제이라이브시티 복합개발사업 T부지(T1,T2) 교통영향평가(약식)(변경심의)(동림피엔디) (1)</t>
    <phoneticPr fontId="2" type="noConversion"/>
  </si>
  <si>
    <t>씨제이라이브시티 복합개발사업 T부지(T1,T2) 교통영향평가(약식)(변경심의)-5장.hwp</t>
  </si>
  <si>
    <t>pp-246</t>
    <phoneticPr fontId="2" type="noConversion"/>
  </si>
  <si>
    <t>pp-261</t>
    <phoneticPr fontId="2" type="noConversion"/>
  </si>
  <si>
    <t>지하철</t>
  </si>
  <si>
    <t xml:space="preserve">유입 </t>
  </si>
  <si>
    <t xml:space="preserve">계 </t>
  </si>
  <si>
    <t xml:space="preserve">❏ 문화 및 집회시설(아레나)(T2부지)
</t>
    <phoneticPr fontId="2" type="noConversion"/>
  </si>
  <si>
    <t xml:space="preserve">❏ 방송시설(스튜디오), 판매시설, 위락시설(테마파크)(T2부지)
</t>
    <phoneticPr fontId="2" type="noConversion"/>
  </si>
  <si>
    <t>&lt;표 5-3-32&gt; 장래 교통수단별 시간대별 통행량 분포 예측 결과(2024년 평일)</t>
    <phoneticPr fontId="2" type="noConversion"/>
  </si>
  <si>
    <r>
      <t>❏ 방송시설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방송통신시설</t>
    </r>
    <r>
      <rPr>
        <sz val="10"/>
        <color rgb="FF000000"/>
        <rFont val="맑은 고딕"/>
        <family val="3"/>
        <charset val="129"/>
        <scheme val="minor"/>
      </rPr>
      <t xml:space="preserve">), </t>
    </r>
    <r>
      <rPr>
        <sz val="10"/>
        <color rgb="FF000000"/>
        <rFont val="08서울남산체 B"/>
        <family val="3"/>
        <charset val="129"/>
      </rPr>
      <t>판매시설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08서울남산체 B"/>
        <family val="3"/>
        <charset val="129"/>
      </rPr>
      <t>위락시설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테마파크</t>
    </r>
    <r>
      <rPr>
        <sz val="10"/>
        <color rgb="FF000000"/>
        <rFont val="맑은 고딕"/>
        <family val="3"/>
        <charset val="129"/>
        <scheme val="minor"/>
      </rPr>
      <t>)(T1</t>
    </r>
    <r>
      <rPr>
        <sz val="10"/>
        <color rgb="FF000000"/>
        <rFont val="08서울남산체 B"/>
        <family val="3"/>
        <charset val="129"/>
      </rPr>
      <t>부지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</si>
  <si>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r>
      <t xml:space="preserve">❏ </t>
    </r>
    <r>
      <rPr>
        <sz val="11"/>
        <color rgb="FF000000"/>
        <rFont val="맑은 고딕"/>
        <family val="3"/>
        <charset val="129"/>
        <scheme val="minor"/>
      </rPr>
      <t>T2</t>
    </r>
    <r>
      <rPr>
        <sz val="11"/>
        <color rgb="FF000000"/>
        <rFont val="08서울남산체 B"/>
        <family val="3"/>
        <charset val="129"/>
      </rPr>
      <t>부지 종합</t>
    </r>
    <r>
      <rPr>
        <sz val="11"/>
        <color rgb="FF000000"/>
        <rFont val="맑은 고딕"/>
        <family val="3"/>
        <charset val="129"/>
        <scheme val="minor"/>
      </rPr>
      <t>(</t>
    </r>
    <r>
      <rPr>
        <sz val="11"/>
        <color rgb="FF000000"/>
        <rFont val="08서울남산체 B"/>
        <family val="3"/>
        <charset val="129"/>
      </rPr>
      <t>문화 및 집회시설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방송시설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판매시설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위락시설</t>
    </r>
    <r>
      <rPr>
        <sz val="11"/>
        <color rgb="FF000000"/>
        <rFont val="맑은 고딕"/>
        <family val="3"/>
        <charset val="129"/>
        <scheme val="minor"/>
      </rPr>
      <t>)</t>
    </r>
    <phoneticPr fontId="2" type="noConversion"/>
  </si>
  <si>
    <t>통행/일</t>
    <phoneticPr fontId="2" type="noConversion"/>
  </si>
  <si>
    <t>&lt;표 5-3-35&gt; 장래 시간대별 발생교통량 예측(2024년 평일)</t>
    <phoneticPr fontId="2" type="noConversion"/>
  </si>
  <si>
    <t>평일</t>
  </si>
  <si>
    <t>문화 및 집회시설</t>
  </si>
  <si>
    <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</si>
  <si>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</si>
  <si>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</si>
  <si>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t>위락시설</t>
  </si>
  <si>
    <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</si>
  <si>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t>휴일</t>
  </si>
  <si>
    <t>구 분</t>
    <phoneticPr fontId="2" type="noConversion"/>
  </si>
  <si>
    <t>&lt;표 5-3-34&gt; 차종별 평균재차인원 산정</t>
    <phoneticPr fontId="2" type="noConversion"/>
  </si>
  <si>
    <t>노선버스</t>
    <phoneticPr fontId="2" type="noConversion"/>
  </si>
  <si>
    <t>비노선버스</t>
    <phoneticPr fontId="2" type="noConversion"/>
  </si>
  <si>
    <t>비노선버스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</si>
  <si>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</si>
  <si>
    <t>seoul</t>
  </si>
  <si>
    <t>goyang</t>
  </si>
  <si>
    <t>gyeonggi</t>
  </si>
  <si>
    <t>incheon</t>
  </si>
  <si>
    <t>etc</t>
  </si>
  <si>
    <t>통행 발생량 = 통행 도착량</t>
    <phoneticPr fontId="2" type="noConversion"/>
  </si>
  <si>
    <t>복합
용지
시설</t>
  </si>
  <si>
    <t>구분</t>
    <phoneticPr fontId="35" type="noConversion"/>
  </si>
  <si>
    <t>도보</t>
    <phoneticPr fontId="35" type="noConversion"/>
  </si>
  <si>
    <t>승용차</t>
    <phoneticPr fontId="35" type="noConversion"/>
  </si>
  <si>
    <t>버스</t>
    <phoneticPr fontId="35" type="noConversion"/>
  </si>
  <si>
    <t>전철/철도</t>
    <phoneticPr fontId="35" type="noConversion"/>
  </si>
  <si>
    <t>화물차</t>
    <phoneticPr fontId="35" type="noConversion"/>
  </si>
  <si>
    <t>자전거</t>
    <phoneticPr fontId="35" type="noConversion"/>
  </si>
  <si>
    <t>기타</t>
    <phoneticPr fontId="35" type="noConversion"/>
  </si>
  <si>
    <t>합계</t>
    <phoneticPr fontId="35" type="noConversion"/>
  </si>
  <si>
    <t>시내버스</t>
    <phoneticPr fontId="35" type="noConversion"/>
  </si>
  <si>
    <t>광역버스</t>
    <phoneticPr fontId="35" type="noConversion"/>
  </si>
  <si>
    <t>마을버스</t>
    <phoneticPr fontId="35" type="noConversion"/>
  </si>
  <si>
    <t>시외/고속버스</t>
    <phoneticPr fontId="35" type="noConversion"/>
  </si>
  <si>
    <t>기타버스</t>
    <phoneticPr fontId="35" type="noConversion"/>
  </si>
  <si>
    <t>지하철/전철</t>
    <phoneticPr fontId="35" type="noConversion"/>
  </si>
  <si>
    <t>(고속)철도</t>
  </si>
  <si>
    <t>지역내</t>
    <phoneticPr fontId="35" type="noConversion"/>
  </si>
  <si>
    <t>지역-경기</t>
    <phoneticPr fontId="35" type="noConversion"/>
  </si>
  <si>
    <t>지역-서울</t>
    <phoneticPr fontId="35" type="noConversion"/>
  </si>
  <si>
    <t>지역-인천</t>
    <phoneticPr fontId="35" type="noConversion"/>
  </si>
  <si>
    <t>지역-외곽</t>
    <phoneticPr fontId="35" type="noConversion"/>
  </si>
  <si>
    <t>합계</t>
    <phoneticPr fontId="35" type="noConversion"/>
  </si>
  <si>
    <t>goyang</t>
    <phoneticPr fontId="2" type="noConversion"/>
  </si>
  <si>
    <t>total</t>
  </si>
  <si>
    <t>total</t>
    <phoneticPr fontId="2" type="noConversion"/>
  </si>
  <si>
    <t>Trip Production ratio</t>
    <phoneticPr fontId="2" type="noConversion"/>
  </si>
  <si>
    <t>Trip Attraction ratio</t>
    <phoneticPr fontId="2" type="noConversion"/>
  </si>
  <si>
    <t>2025 Trip dsitribution</t>
    <phoneticPr fontId="2" type="noConversion"/>
  </si>
  <si>
    <t>total</t>
    <phoneticPr fontId="2" type="noConversion"/>
  </si>
  <si>
    <t>통행분포</t>
    <phoneticPr fontId="2" type="noConversion"/>
  </si>
  <si>
    <t>지역-서울</t>
  </si>
  <si>
    <t>지역-경기</t>
  </si>
  <si>
    <t>지역-인천</t>
  </si>
  <si>
    <t>지역-외곽</t>
  </si>
  <si>
    <t>지역내</t>
  </si>
  <si>
    <t>Trip Prodcution</t>
    <phoneticPr fontId="2" type="noConversion"/>
  </si>
  <si>
    <t>Trip Attration</t>
    <phoneticPr fontId="2" type="noConversion"/>
  </si>
  <si>
    <t>지역-경기</t>
    <phoneticPr fontId="2" type="noConversion"/>
  </si>
  <si>
    <t>Modal Split</t>
    <phoneticPr fontId="2" type="noConversion"/>
  </si>
  <si>
    <t>도보</t>
  </si>
  <si>
    <t>화물차</t>
  </si>
  <si>
    <t>자전거</t>
  </si>
  <si>
    <t>시내버스</t>
  </si>
  <si>
    <t>광역버스</t>
  </si>
  <si>
    <t>마을버스</t>
  </si>
  <si>
    <t>시외/고속버스</t>
  </si>
  <si>
    <t>기타버스</t>
  </si>
  <si>
    <t>지하철/전철</t>
  </si>
  <si>
    <t>주차장(근린생활시설)</t>
  </si>
  <si>
    <t>수단선택</t>
    <phoneticPr fontId="2" type="noConversion"/>
  </si>
  <si>
    <t>판매시설</t>
    <phoneticPr fontId="2" type="noConversion"/>
  </si>
  <si>
    <t>복합판매시설</t>
    <phoneticPr fontId="2" type="noConversion"/>
  </si>
  <si>
    <t>복합판매시설</t>
    <phoneticPr fontId="2" type="noConversion"/>
  </si>
  <si>
    <t>복합근린생활시설</t>
    <phoneticPr fontId="2" type="noConversion"/>
  </si>
  <si>
    <t>검토중!!!</t>
    <phoneticPr fontId="2" type="noConversion"/>
  </si>
  <si>
    <t>전철/철도</t>
  </si>
  <si>
    <t>복합판매시설</t>
  </si>
  <si>
    <t>복합근린생활시설</t>
  </si>
  <si>
    <t>복합</t>
    <phoneticPr fontId="2" type="noConversion"/>
  </si>
  <si>
    <t>재차인원적용</t>
    <phoneticPr fontId="2" type="noConversion"/>
  </si>
  <si>
    <t>경</t>
  </si>
  <si>
    <t>기</t>
  </si>
  <si>
    <t>도</t>
  </si>
  <si>
    <t>수시</t>
  </si>
  <si>
    <t>성남시</t>
  </si>
  <si>
    <t>의정부시</t>
  </si>
  <si>
    <t>안양시</t>
  </si>
  <si>
    <t>부천시</t>
  </si>
  <si>
    <t>광명시</t>
  </si>
  <si>
    <t>평택시</t>
  </si>
  <si>
    <t>동두천시</t>
  </si>
  <si>
    <t>안산시</t>
  </si>
  <si>
    <t>고양시</t>
  </si>
  <si>
    <t>과천시</t>
  </si>
  <si>
    <t>구리시</t>
  </si>
  <si>
    <t>남양주시</t>
  </si>
  <si>
    <t>오산시</t>
  </si>
  <si>
    <t>시흥시</t>
  </si>
  <si>
    <t>군포시</t>
  </si>
  <si>
    <t>의왕시</t>
  </si>
  <si>
    <t>하남시</t>
  </si>
  <si>
    <t>용인시</t>
  </si>
  <si>
    <t>파주시</t>
  </si>
  <si>
    <t>이천시</t>
  </si>
  <si>
    <t>안성시</t>
  </si>
  <si>
    <t>김포시</t>
  </si>
  <si>
    <t>화성시</t>
  </si>
  <si>
    <t>광주시</t>
  </si>
  <si>
    <t>양주시</t>
  </si>
  <si>
    <t>포천시</t>
  </si>
  <si>
    <t>여주군</t>
  </si>
  <si>
    <t>연천군</t>
  </si>
  <si>
    <t>가평군</t>
  </si>
  <si>
    <t>양평군</t>
  </si>
  <si>
    <t>출발 권역구분</t>
  </si>
  <si>
    <t>도착지 구분</t>
  </si>
  <si>
    <t>서울</t>
  </si>
  <si>
    <t>인천</t>
  </si>
  <si>
    <t>경기</t>
  </si>
  <si>
    <t>수도권외</t>
  </si>
  <si>
    <t>권역내부</t>
  </si>
  <si>
    <t>승용차 재차인원</t>
    <phoneticPr fontId="2" type="noConversion"/>
  </si>
  <si>
    <t>경기도</t>
  </si>
  <si>
    <t>비노선버스</t>
  </si>
  <si>
    <t>서울특별시</t>
  </si>
  <si>
    <t>부산광역시</t>
  </si>
  <si>
    <t>대구광역시</t>
  </si>
  <si>
    <t>인천광역시</t>
  </si>
  <si>
    <t>광주광역시</t>
  </si>
  <si>
    <t>대전광역시</t>
  </si>
  <si>
    <t>울산광역시</t>
  </si>
  <si>
    <t>강원도</t>
  </si>
  <si>
    <t>충청북도</t>
  </si>
  <si>
    <t>충청남도</t>
  </si>
  <si>
    <t>전라북도</t>
  </si>
  <si>
    <t>전라남도</t>
  </si>
  <si>
    <t>경상북도</t>
  </si>
  <si>
    <t>경상남도</t>
  </si>
  <si>
    <t>제주특별자치도</t>
  </si>
  <si>
    <t>버스/택시 재차인원</t>
    <phoneticPr fontId="2" type="noConversion"/>
  </si>
  <si>
    <t>지역내</t>
    <phoneticPr fontId="2" type="noConversion"/>
  </si>
  <si>
    <t>지역-서울</t>
    <phoneticPr fontId="2" type="noConversion"/>
  </si>
  <si>
    <t>지역-서울</t>
    <phoneticPr fontId="2" type="noConversion"/>
  </si>
  <si>
    <t>지역-인천</t>
    <phoneticPr fontId="2" type="noConversion"/>
  </si>
  <si>
    <t>지역-경기</t>
    <phoneticPr fontId="2" type="noConversion"/>
  </si>
  <si>
    <t>지역-외곽</t>
    <phoneticPr fontId="2" type="noConversion"/>
  </si>
  <si>
    <t>지역내</t>
    <phoneticPr fontId="2" type="noConversion"/>
  </si>
  <si>
    <t>대</t>
    <phoneticPr fontId="2" type="noConversion"/>
  </si>
  <si>
    <t>2020년_수도권OD및네트워크설명자료</t>
    <phoneticPr fontId="2" type="noConversion"/>
  </si>
  <si>
    <t>용도시설별 면적비율</t>
  </si>
  <si>
    <t>용도시설별 면적비율</t>
    <phoneticPr fontId="2" type="noConversion"/>
  </si>
  <si>
    <t>용도시설</t>
  </si>
  <si>
    <t>ID</t>
  </si>
  <si>
    <t>면적</t>
  </si>
  <si>
    <t>A1</t>
  </si>
  <si>
    <t>B1</t>
  </si>
  <si>
    <t>C1</t>
  </si>
  <si>
    <t>D1</t>
  </si>
  <si>
    <t>D2</t>
  </si>
  <si>
    <t>D3</t>
  </si>
  <si>
    <t>D4</t>
  </si>
  <si>
    <t>D5</t>
  </si>
  <si>
    <t>E1</t>
  </si>
  <si>
    <t>E2</t>
  </si>
  <si>
    <t>F1</t>
  </si>
  <si>
    <t>복합지원</t>
  </si>
  <si>
    <t>G1</t>
  </si>
  <si>
    <t>G2</t>
  </si>
  <si>
    <t>G3</t>
  </si>
  <si>
    <t>H1</t>
  </si>
  <si>
    <t>H2</t>
  </si>
  <si>
    <t>I1</t>
  </si>
  <si>
    <t>승용차+택시</t>
    <phoneticPr fontId="2" type="noConversion"/>
  </si>
  <si>
    <t>승용차+택시</t>
    <phoneticPr fontId="2" type="noConversion"/>
  </si>
  <si>
    <t>비노선버스</t>
    <phoneticPr fontId="2" type="noConversion"/>
  </si>
  <si>
    <t>요약</t>
    <phoneticPr fontId="2" type="noConversion"/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</si>
  <si>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</si>
  <si>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</si>
  <si>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</si>
  <si>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연구시설</t>
    <phoneticPr fontId="2" type="noConversion"/>
  </si>
  <si>
    <t>첨단제조시설</t>
    <phoneticPr fontId="2" type="noConversion"/>
  </si>
  <si>
    <t>지식기반시설</t>
    <phoneticPr fontId="2" type="noConversion"/>
  </si>
  <si>
    <t>지원시설</t>
    <phoneticPr fontId="2" type="noConversion"/>
  </si>
  <si>
    <t>복합지원</t>
    <phoneticPr fontId="2" type="noConversion"/>
  </si>
  <si>
    <t>존 번호</t>
    <phoneticPr fontId="2" type="noConversion"/>
  </si>
  <si>
    <t>존 번호</t>
    <phoneticPr fontId="2" type="noConversion"/>
  </si>
  <si>
    <t>대/일</t>
    <phoneticPr fontId="2" type="noConversion"/>
  </si>
  <si>
    <t>대/일</t>
    <phoneticPr fontId="2" type="noConversion"/>
  </si>
  <si>
    <t>순유입인구비율</t>
    <phoneticPr fontId="2" type="noConversion"/>
  </si>
  <si>
    <t>도시개발사업</t>
    <phoneticPr fontId="2" type="noConversion"/>
  </si>
  <si>
    <t>소수점차이 인듯</t>
    <phoneticPr fontId="2" type="noConversion"/>
  </si>
  <si>
    <t>비노선버스</t>
    <phoneticPr fontId="2" type="noConversion"/>
  </si>
  <si>
    <t>주상복합</t>
  </si>
  <si>
    <t>M1</t>
  </si>
  <si>
    <t>M2</t>
  </si>
  <si>
    <t>M3</t>
  </si>
  <si>
    <t>M4</t>
  </si>
  <si>
    <t>A2</t>
  </si>
  <si>
    <t>근린생활시설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</si>
  <si>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</si>
  <si>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</si>
  <si>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</si>
  <si>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</si>
  <si>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</si>
  <si>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</si>
  <si>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</si>
  <si>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</si>
  <si>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</si>
  <si>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</si>
  <si>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주상복합( 상업포함)</t>
  </si>
  <si>
    <t>주상복합( 상업포함)</t>
    <phoneticPr fontId="2" type="noConversion"/>
  </si>
  <si>
    <t>지역-경기</t>
    <phoneticPr fontId="2" type="noConversion"/>
  </si>
  <si>
    <t>Modal Split</t>
    <phoneticPr fontId="2" type="noConversion"/>
  </si>
  <si>
    <t>재차인원적용</t>
    <phoneticPr fontId="2" type="noConversion"/>
  </si>
  <si>
    <t>통행분포</t>
    <phoneticPr fontId="2" type="noConversion"/>
  </si>
  <si>
    <t>수단선택</t>
    <phoneticPr fontId="2" type="noConversion"/>
  </si>
  <si>
    <t>지역-서울</t>
    <phoneticPr fontId="2" type="noConversion"/>
  </si>
  <si>
    <t>지역내</t>
    <phoneticPr fontId="2" type="noConversion"/>
  </si>
  <si>
    <t>요약</t>
    <phoneticPr fontId="2" type="noConversion"/>
  </si>
  <si>
    <t>대/일</t>
    <phoneticPr fontId="2" type="noConversion"/>
  </si>
  <si>
    <t>비노선버스</t>
    <phoneticPr fontId="2" type="noConversion"/>
  </si>
  <si>
    <t>승용차+택시</t>
    <phoneticPr fontId="2" type="noConversion"/>
  </si>
  <si>
    <t>존 번호</t>
    <phoneticPr fontId="2" type="noConversion"/>
  </si>
  <si>
    <t>주상복합( 상업포함)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</si>
  <si>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</si>
  <si>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</si>
  <si>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</si>
  <si>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</si>
  <si>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Trip Attraction</t>
    <phoneticPr fontId="2" type="noConversion"/>
  </si>
  <si>
    <t>A1</t>
    <phoneticPr fontId="2" type="noConversion"/>
  </si>
  <si>
    <t>단독주택</t>
    <phoneticPr fontId="2" type="noConversion"/>
  </si>
  <si>
    <t>아파트 60 이하</t>
    <phoneticPr fontId="2" type="noConversion"/>
  </si>
  <si>
    <t>근린생활시설</t>
    <phoneticPr fontId="2" type="noConversion"/>
  </si>
  <si>
    <t>상업업무시설</t>
    <phoneticPr fontId="2" type="noConversion"/>
  </si>
  <si>
    <t>상업업무시설</t>
    <phoneticPr fontId="2" type="noConversion"/>
  </si>
  <si>
    <t>G2</t>
    <phoneticPr fontId="2" type="noConversion"/>
  </si>
  <si>
    <t>종교시설</t>
    <phoneticPr fontId="2" type="noConversion"/>
  </si>
  <si>
    <t>I1</t>
    <phoneticPr fontId="2" type="noConversion"/>
  </si>
  <si>
    <t>K1</t>
    <phoneticPr fontId="2" type="noConversion"/>
  </si>
  <si>
    <t>도시지원시설</t>
    <phoneticPr fontId="2" type="noConversion"/>
  </si>
  <si>
    <t>아파트 60-85</t>
    <phoneticPr fontId="2" type="noConversion"/>
  </si>
  <si>
    <t>근린생활시설</t>
    <phoneticPr fontId="2" type="noConversion"/>
  </si>
  <si>
    <t>교육시설</t>
    <phoneticPr fontId="2" type="noConversion"/>
  </si>
  <si>
    <t>단독주택</t>
    <phoneticPr fontId="2" type="noConversion"/>
  </si>
  <si>
    <t>아파트 60 이하</t>
    <phoneticPr fontId="2" type="noConversion"/>
  </si>
  <si>
    <t>아파트 60-85</t>
    <phoneticPr fontId="2" type="noConversion"/>
  </si>
  <si>
    <t>E2</t>
    <phoneticPr fontId="2" type="noConversion"/>
  </si>
  <si>
    <t>F1</t>
    <phoneticPr fontId="2" type="noConversion"/>
  </si>
  <si>
    <t>공공청사</t>
    <phoneticPr fontId="2" type="noConversion"/>
  </si>
  <si>
    <t>복합커뮤니티시설</t>
    <phoneticPr fontId="2" type="noConversion"/>
  </si>
  <si>
    <t>기준년도로 변경해야함!!</t>
    <phoneticPr fontId="2" type="noConversion"/>
  </si>
  <si>
    <t>&lt; 표 3- &gt; 장래 통행목적별 통행발생량 예측결과 (유입 + 유출)</t>
    <phoneticPr fontId="2" type="noConversion"/>
  </si>
  <si>
    <t>(통행/일)</t>
    <phoneticPr fontId="2" type="noConversion"/>
  </si>
  <si>
    <t>유출 or 유입</t>
    <phoneticPr fontId="2" type="noConversion"/>
  </si>
  <si>
    <t>아파트 60 이하</t>
  </si>
  <si>
    <t>아파트 60 이하 
+ 아파트 60-85</t>
    <phoneticPr fontId="2" type="noConversion"/>
  </si>
  <si>
    <t>아파트 60-85</t>
  </si>
  <si>
    <t>주상복합 60-85
+ 85 초과</t>
  </si>
  <si>
    <t>주상복합 60-85</t>
  </si>
  <si>
    <t>주상복합 60-85
+ 85 초과</t>
    <phoneticPr fontId="2" type="noConversion"/>
  </si>
  <si>
    <t>주상복합 85 초과</t>
  </si>
  <si>
    <t>주상복합 85 초과</t>
    <phoneticPr fontId="2" type="noConversion"/>
  </si>
  <si>
    <t>복합커뮤니티시설</t>
    <phoneticPr fontId="2" type="noConversion"/>
  </si>
  <si>
    <t>총 계</t>
    <phoneticPr fontId="2" type="noConversion"/>
  </si>
  <si>
    <t>총 계</t>
    <phoneticPr fontId="2" type="noConversion"/>
  </si>
  <si>
    <t>지역-외곽</t>
    <phoneticPr fontId="2" type="noConversion"/>
  </si>
  <si>
    <t>J1</t>
  </si>
  <si>
    <t>K1</t>
  </si>
  <si>
    <t>아파트 60 이하</t>
    <phoneticPr fontId="2" type="noConversion"/>
  </si>
  <si>
    <t>B6</t>
    <phoneticPr fontId="2" type="noConversion"/>
  </si>
  <si>
    <r>
      <t>2024</t>
    </r>
    <r>
      <rPr>
        <sz val="10"/>
        <color rgb="FF000000"/>
        <rFont val="HY신명조"/>
        <family val="3"/>
        <charset val="129"/>
      </rPr>
      <t>년</t>
    </r>
  </si>
  <si>
    <r>
      <t>2028</t>
    </r>
    <r>
      <rPr>
        <sz val="10"/>
        <color rgb="FF000000"/>
        <rFont val="HY신명조"/>
        <family val="3"/>
        <charset val="129"/>
      </rPr>
      <t>년</t>
    </r>
  </si>
  <si>
    <t>pp-168</t>
    <phoneticPr fontId="2" type="noConversion"/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</si>
  <si>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</si>
  <si>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2024</t>
    </r>
    <r>
      <rPr>
        <b/>
        <sz val="9"/>
        <color rgb="FF000000"/>
        <rFont val="08서울남산체 B"/>
        <family val="3"/>
        <charset val="129"/>
      </rPr>
      <t>년 총 통행량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통행</t>
    </r>
    <r>
      <rPr>
        <b/>
        <sz val="9"/>
        <color rgb="FF000000"/>
        <rFont val="맑은 고딕"/>
        <family val="3"/>
        <charset val="129"/>
        <scheme val="minor"/>
      </rPr>
      <t>/</t>
    </r>
    <r>
      <rPr>
        <b/>
        <sz val="9"/>
        <color rgb="FF000000"/>
        <rFont val="08서울남산체 B"/>
        <family val="3"/>
        <charset val="129"/>
      </rPr>
      <t>일</t>
    </r>
    <r>
      <rPr>
        <b/>
        <sz val="9"/>
        <color rgb="FF000000"/>
        <rFont val="맑은 고딕"/>
        <family val="3"/>
        <charset val="129"/>
        <scheme val="minor"/>
      </rPr>
      <t xml:space="preserve">) 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</si>
  <si>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</si>
  <si>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위락시설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</si>
  <si>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r>
      <t>객석수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석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</si>
  <si>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),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</si>
  <si>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</si>
  <si>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t xml:space="preserve">판매시설 </t>
  </si>
  <si>
    <r>
      <t>문화 및 집회시설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</si>
  <si>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 xml:space="preserve">T2 </t>
    </r>
    <r>
      <rPr>
        <b/>
        <sz val="9"/>
        <color rgb="FF000000"/>
        <rFont val="08서울남산체 B"/>
        <family val="3"/>
        <charset val="129"/>
      </rPr>
      <t>합계</t>
    </r>
  </si>
  <si>
    <t xml:space="preserve">&lt;표 5-3-15&gt; 사업지 1일 총 활동인구 예측(T1부지)
</t>
    <phoneticPr fontId="2" type="noConversion"/>
  </si>
  <si>
    <t>&lt;표 5-3-21&gt; 장래 목표연도 1일 총 통행량 예측(T2부지 전체)</t>
    <phoneticPr fontId="2" type="noConversion"/>
  </si>
  <si>
    <t>구 분(평일)</t>
  </si>
  <si>
    <t>구 분(평일)</t>
    <phoneticPr fontId="2" type="noConversion"/>
  </si>
  <si>
    <t>T1</t>
  </si>
  <si>
    <t>T1</t>
    <phoneticPr fontId="2" type="noConversion"/>
  </si>
  <si>
    <t>T2</t>
  </si>
  <si>
    <t>T2</t>
    <phoneticPr fontId="2" type="noConversion"/>
  </si>
  <si>
    <t>구 분 (평일)</t>
  </si>
  <si>
    <t>구 분 (평일)</t>
    <phoneticPr fontId="2" type="noConversion"/>
  </si>
  <si>
    <t>방송시설(방송통신시설)</t>
  </si>
  <si>
    <t>위락시설(테마파크)</t>
  </si>
  <si>
    <t>방송시설(스튜디오)</t>
  </si>
  <si>
    <t>문화 및 집회시설(아레나)</t>
  </si>
  <si>
    <t>T1방송시설(방송통신시설)</t>
  </si>
  <si>
    <t>T1방송시설(방송통신시설)</t>
    <phoneticPr fontId="2" type="noConversion"/>
  </si>
  <si>
    <t>T1판매시설</t>
  </si>
  <si>
    <t>T1판매시설</t>
    <phoneticPr fontId="2" type="noConversion"/>
  </si>
  <si>
    <t>T1위락시설(테마파크)</t>
  </si>
  <si>
    <t>T1위락시설(테마파크)</t>
    <phoneticPr fontId="2" type="noConversion"/>
  </si>
  <si>
    <t xml:space="preserve">T2판매시설 </t>
  </si>
  <si>
    <t xml:space="preserve">T2판매시설 </t>
    <phoneticPr fontId="2" type="noConversion"/>
  </si>
  <si>
    <t>T2방송시설(스튜디오)</t>
  </si>
  <si>
    <t>T2방송시설(스튜디오)</t>
    <phoneticPr fontId="2" type="noConversion"/>
  </si>
  <si>
    <t>T2위락시설(테마파크)</t>
  </si>
  <si>
    <t>T2위락시설(테마파크)</t>
    <phoneticPr fontId="2" type="noConversion"/>
  </si>
  <si>
    <t>T2문화 및 집회시설(아레나)</t>
  </si>
  <si>
    <t>T2문화 및 집회시설(아레나)</t>
    <phoneticPr fontId="2" type="noConversion"/>
  </si>
  <si>
    <t>연면적(㎡)</t>
  </si>
  <si>
    <t xml:space="preserve">2024년 총 통행량(통행/일) </t>
  </si>
  <si>
    <t>연면적(㎡),</t>
  </si>
  <si>
    <t>객석수(석)</t>
  </si>
  <si>
    <t>존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</si>
  <si>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  <phoneticPr fontId="2" type="noConversion"/>
  </si>
  <si>
    <t>승용차</t>
    <phoneticPr fontId="2" type="noConversion"/>
  </si>
  <si>
    <t>유출</t>
    <phoneticPr fontId="2" type="noConversion"/>
  </si>
  <si>
    <t>택시</t>
    <phoneticPr fontId="2" type="noConversion"/>
  </si>
  <si>
    <t>유입</t>
    <phoneticPr fontId="2" type="noConversion"/>
  </si>
  <si>
    <t>유출</t>
    <phoneticPr fontId="2" type="noConversion"/>
  </si>
  <si>
    <t>지하철</t>
    <phoneticPr fontId="2" type="noConversion"/>
  </si>
  <si>
    <t>도보기타</t>
    <phoneticPr fontId="2" type="noConversion"/>
  </si>
  <si>
    <t>유입</t>
    <phoneticPr fontId="2" type="noConversion"/>
  </si>
  <si>
    <t>합계</t>
    <phoneticPr fontId="2" type="noConversion"/>
  </si>
  <si>
    <t>유출</t>
    <phoneticPr fontId="2" type="noConversion"/>
  </si>
  <si>
    <t>버스</t>
    <phoneticPr fontId="2" type="noConversion"/>
  </si>
  <si>
    <t>2015년</t>
    <phoneticPr fontId="2" type="noConversion"/>
  </si>
  <si>
    <t>2020년</t>
    <phoneticPr fontId="2" type="noConversion"/>
  </si>
  <si>
    <t>관광문화</t>
  </si>
  <si>
    <t>관광문화</t>
    <phoneticPr fontId="2" type="noConversion"/>
  </si>
  <si>
    <t>순유입인구비율적용</t>
    <phoneticPr fontId="2" type="noConversion"/>
  </si>
  <si>
    <t>pp-81 ~ 84</t>
    <phoneticPr fontId="2" type="noConversion"/>
  </si>
  <si>
    <t>대/일</t>
    <phoneticPr fontId="2" type="noConversion"/>
  </si>
  <si>
    <t>차종구분</t>
  </si>
  <si>
    <t>평균적재능력</t>
  </si>
  <si>
    <r>
      <t>(</t>
    </r>
    <r>
      <rPr>
        <b/>
        <sz val="10"/>
        <color rgb="FF000000"/>
        <rFont val="휴먼고딕"/>
        <charset val="129"/>
      </rPr>
      <t>톤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대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</si>
  <si>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공차운행율</t>
  </si>
  <si>
    <t>(%)</t>
  </si>
  <si>
    <t>평균적재율</t>
  </si>
  <si>
    <r>
      <t xml:space="preserve">수송분담율 </t>
    </r>
    <r>
      <rPr>
        <b/>
        <sz val="10"/>
        <color rgb="FF000000"/>
        <rFont val="맑은 고딕"/>
        <family val="3"/>
        <charset val="129"/>
        <scheme val="minor"/>
      </rPr>
      <t>(%)</t>
    </r>
  </si>
  <si>
    <r>
      <t>1.0</t>
    </r>
    <r>
      <rPr>
        <sz val="10"/>
        <color rgb="FF000000"/>
        <rFont val="휴먼고딕"/>
        <charset val="129"/>
      </rPr>
      <t>톤 미만</t>
    </r>
  </si>
  <si>
    <t>중형</t>
  </si>
  <si>
    <r>
      <t>1.0</t>
    </r>
    <r>
      <rPr>
        <sz val="10"/>
        <color rgb="FF000000"/>
        <rFont val="휴먼고딕"/>
        <charset val="129"/>
      </rPr>
      <t>톤 이상〜</t>
    </r>
  </si>
  <si>
    <r>
      <t>8.0</t>
    </r>
    <r>
      <rPr>
        <sz val="10"/>
        <color rgb="FF000000"/>
        <rFont val="휴먼고딕"/>
        <charset val="129"/>
      </rPr>
      <t>톤 미만</t>
    </r>
  </si>
  <si>
    <r>
      <t>8.0</t>
    </r>
    <r>
      <rPr>
        <sz val="10"/>
        <color rgb="FF000000"/>
        <rFont val="휴먼고딕"/>
        <charset val="129"/>
      </rPr>
      <t>톤이상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휴먼고딕"/>
        <charset val="129"/>
      </rPr>
      <t>세미트레일러 및 트레일러</t>
    </r>
  </si>
  <si>
    <t>자료 : 1) 수송분담율은 현장조사치임
       2)「교통영향평가 지침, 2016.1.25. 국토해양부」제10조(교통영향분석 지표) 제3항 제2호, 3호에 의하여 산정하였음</t>
    <phoneticPr fontId="2" type="noConversion"/>
  </si>
  <si>
    <t xml:space="preserve">■ 차종별 화물수송 비율
</t>
    <phoneticPr fontId="2" type="noConversion"/>
  </si>
  <si>
    <t>pp-82</t>
    <phoneticPr fontId="2" type="noConversion"/>
  </si>
  <si>
    <t>계획인구 규모</t>
    <phoneticPr fontId="2" type="noConversion"/>
  </si>
  <si>
    <t>최초입주년도</t>
    <phoneticPr fontId="2" type="noConversion"/>
  </si>
  <si>
    <t>1년후</t>
    <phoneticPr fontId="2" type="noConversion"/>
  </si>
  <si>
    <t>2년후</t>
    <phoneticPr fontId="2" type="noConversion"/>
  </si>
  <si>
    <t>3년후</t>
    <phoneticPr fontId="2" type="noConversion"/>
  </si>
  <si>
    <t>4년후</t>
    <phoneticPr fontId="2" type="noConversion"/>
  </si>
  <si>
    <t>10만명초과</t>
    <phoneticPr fontId="2" type="noConversion"/>
  </si>
  <si>
    <t>5만명초과~10만명이하</t>
    <phoneticPr fontId="2" type="noConversion"/>
  </si>
  <si>
    <t>5만명이하</t>
    <phoneticPr fontId="2" type="noConversion"/>
  </si>
  <si>
    <t>교통부문 예바타당성조사 쟁점 연구, 2013, p-213</t>
    <phoneticPr fontId="2" type="noConversion"/>
  </si>
  <si>
    <t>택지 및 산업단지 장래 개발계획 반영시 고려사항, pp-4</t>
    <phoneticPr fontId="2" type="noConversion"/>
  </si>
  <si>
    <t>과업 상근인구 수</t>
    <phoneticPr fontId="2" type="noConversion"/>
  </si>
  <si>
    <t>과업 완료 시점</t>
    <phoneticPr fontId="2" type="noConversion"/>
  </si>
  <si>
    <t>&lt;표 3&gt; 계획인구 규모에 따른 계획인구 반영 비율 적용 기준</t>
    <phoneticPr fontId="2" type="noConversion"/>
  </si>
  <si>
    <t>공가율 적용 기준</t>
    <phoneticPr fontId="2" type="noConversion"/>
  </si>
  <si>
    <t>총 계</t>
    <phoneticPr fontId="2" type="noConversion"/>
  </si>
  <si>
    <t>pp-131</t>
    <phoneticPr fontId="2" type="noConversion"/>
  </si>
  <si>
    <t>제3장-사업지구 및 주변지역의 장래 교통수요.hwp</t>
    <phoneticPr fontId="2" type="noConversion"/>
  </si>
  <si>
    <t>과업 상주+상근 인구 수</t>
    <phoneticPr fontId="2" type="noConversion"/>
  </si>
  <si>
    <t>5년후</t>
  </si>
  <si>
    <t>6년후</t>
  </si>
  <si>
    <t>7년후</t>
  </si>
  <si>
    <t>8년후</t>
  </si>
  <si>
    <t>9년후</t>
  </si>
  <si>
    <t>10년후</t>
  </si>
  <si>
    <t>11년후</t>
  </si>
  <si>
    <t>12년후</t>
  </si>
  <si>
    <t>13년후</t>
  </si>
  <si>
    <t>14년후</t>
  </si>
  <si>
    <t>15년후</t>
  </si>
  <si>
    <t>16년후</t>
  </si>
  <si>
    <t>17년후</t>
  </si>
  <si>
    <t>18년후</t>
  </si>
  <si>
    <t>19년후</t>
  </si>
  <si>
    <t>20년후</t>
  </si>
  <si>
    <t>21년후</t>
  </si>
  <si>
    <t>22년후</t>
  </si>
  <si>
    <t>23년후</t>
  </si>
  <si>
    <t>24년후</t>
  </si>
  <si>
    <t>25년후</t>
  </si>
  <si>
    <t>26년후</t>
  </si>
  <si>
    <t>27년후</t>
  </si>
  <si>
    <t>28년후</t>
  </si>
  <si>
    <t>29년후</t>
  </si>
  <si>
    <t>30년후</t>
  </si>
  <si>
    <t>31년후</t>
  </si>
  <si>
    <t>32년후</t>
  </si>
  <si>
    <t>33년후</t>
  </si>
  <si>
    <t>34년후</t>
  </si>
  <si>
    <t>35년후</t>
  </si>
  <si>
    <t>36년후</t>
  </si>
  <si>
    <t>37년후</t>
  </si>
  <si>
    <t>38년후</t>
  </si>
  <si>
    <t>39년후</t>
  </si>
  <si>
    <t>40년후</t>
  </si>
  <si>
    <t>F1</t>
    <phoneticPr fontId="2" type="noConversion"/>
  </si>
  <si>
    <t>첨단제조시설</t>
    <phoneticPr fontId="2" type="noConversion"/>
  </si>
  <si>
    <t>승용차+택시</t>
    <phoneticPr fontId="2" type="noConversion"/>
  </si>
  <si>
    <t>트럭</t>
    <phoneticPr fontId="2" type="noConversion"/>
  </si>
  <si>
    <t>Trip Production</t>
    <phoneticPr fontId="2" type="noConversion"/>
  </si>
  <si>
    <t>Trip Attraction</t>
    <phoneticPr fontId="2" type="noConversion"/>
  </si>
  <si>
    <t>가동률 적용</t>
    <phoneticPr fontId="2" type="noConversion"/>
  </si>
  <si>
    <t>2020년도 수도권 여객 기종점통행량(O/D) 현행화 공동사업, 경기연구원  pp-588</t>
    <phoneticPr fontId="2" type="noConversion"/>
  </si>
  <si>
    <t>택지 및 산업단지 장래 개발계획 반영시 고려사항, pp-6</t>
    <phoneticPr fontId="2" type="noConversion"/>
  </si>
  <si>
    <t>순유입인구비율 적용 (주거시설에 대해서만)</t>
    <phoneticPr fontId="2" type="noConversion"/>
  </si>
  <si>
    <t>FD_pccar_taxi-od_O</t>
  </si>
  <si>
    <t>FD_pccar_taxi-od_D</t>
    <phoneticPr fontId="2" type="noConversion"/>
  </si>
  <si>
    <t>FD_bus-od_O</t>
  </si>
  <si>
    <t>FD_bus-od_D</t>
    <phoneticPr fontId="2" type="noConversion"/>
  </si>
  <si>
    <t>FD-F_fod_zone_O</t>
  </si>
  <si>
    <t>FD-F_fod_zone_D</t>
    <phoneticPr fontId="2" type="noConversion"/>
  </si>
  <si>
    <t>20_25</t>
  </si>
  <si>
    <t>25_30</t>
  </si>
  <si>
    <t>30_35</t>
  </si>
  <si>
    <t>35_40</t>
  </si>
  <si>
    <t>40_45</t>
  </si>
  <si>
    <t>45_50</t>
  </si>
  <si>
    <t>production</t>
  </si>
  <si>
    <t>attraction</t>
  </si>
  <si>
    <t xml:space="preserve">파일경로 : </t>
    <phoneticPr fontId="2" type="noConversion"/>
  </si>
  <si>
    <t>OD_distribution-total.csv</t>
  </si>
  <si>
    <t>X:\00_TLSYSLAB_Mighty_Drive\2021W12-킨텍스교차로개선사업-211026\2021W12-04-분석\2021W12-04-04_존세분화_네트워크수정\2021W21-04-04-02_사업지구_존세분화</t>
  </si>
  <si>
    <t>Z:\02_Completed_Works\2021W12-킨텍스교차로개선사업-211026\2021W12-99-Reference\관련_계획\2021.고양 일산테크노밸리 도시개발사업 교통영향평가(케이지엔지니어링)</t>
    <phoneticPr fontId="2" type="noConversion"/>
  </si>
  <si>
    <t>04. 재심의 수정의결보완서-21.08.19</t>
  </si>
  <si>
    <t>Z:\02_Completed_Works\2021W12-킨텍스교차로개선사업-211026\2021W12-99-Reference\관련_계획\2021.경기고양 방송영상밸리 도시개발사업 교통영향평가(삼안)</t>
    <phoneticPr fontId="2" type="noConversion"/>
  </si>
  <si>
    <t>여객OD</t>
    <phoneticPr fontId="2" type="noConversion"/>
  </si>
  <si>
    <t>화물OD</t>
    <phoneticPr fontId="2" type="noConversion"/>
  </si>
  <si>
    <t>OD_distribution-total_truck.csv</t>
    <phoneticPr fontId="2" type="noConversion"/>
  </si>
  <si>
    <t>장래 년도에 바꿔야할 셀</t>
    <phoneticPr fontId="2" type="noConversion"/>
  </si>
  <si>
    <t>복합지원</t>
    <phoneticPr fontId="2" type="noConversion"/>
  </si>
  <si>
    <t>용도시설별 통행도착량</t>
    <phoneticPr fontId="2" type="noConversion"/>
  </si>
  <si>
    <t>용도시설별 통행발생량</t>
    <phoneticPr fontId="2" type="noConversion"/>
  </si>
  <si>
    <t>용도시설별 통행도착량</t>
    <phoneticPr fontId="2" type="noConversion"/>
  </si>
  <si>
    <t>트럭</t>
    <phoneticPr fontId="2" type="noConversion"/>
  </si>
  <si>
    <t>사업지구 용도시설별 통행발생량 (입주율 적용 + 공가율적용_화물OD 적용X)</t>
    <phoneticPr fontId="2" type="noConversion"/>
  </si>
  <si>
    <t>사업지구 용도시설별 통행도착량 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</si>
  <si>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</si>
  <si>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</si>
  <si>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</si>
  <si>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</si>
  <si>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2035 고양시 도시기본계획 pp-109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</si>
  <si>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</si>
  <si>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트럭</t>
    <phoneticPr fontId="2" type="noConversion"/>
  </si>
  <si>
    <t>트럭</t>
    <phoneticPr fontId="2" type="noConversion"/>
  </si>
  <si>
    <t>트럭</t>
    <phoneticPr fontId="2" type="noConversion"/>
  </si>
  <si>
    <t>장항 1동 통행량 증가량</t>
    <phoneticPr fontId="35" type="noConversion"/>
  </si>
  <si>
    <t>OD_total_2025-zoneSep_pc_vpd-_4_to_6_final</t>
    <phoneticPr fontId="35" type="noConversion"/>
  </si>
  <si>
    <t>: 대 단위 장항 1동 통행량을 통해 계산하였음</t>
    <phoneticPr fontId="35" type="noConversion"/>
  </si>
  <si>
    <t>pccar_O</t>
    <phoneticPr fontId="35" type="noConversion"/>
  </si>
  <si>
    <t>pccar_D</t>
    <phoneticPr fontId="35" type="noConversion"/>
  </si>
  <si>
    <t>bus_O</t>
    <phoneticPr fontId="35" type="noConversion"/>
  </si>
  <si>
    <t>bus_D</t>
    <phoneticPr fontId="35" type="noConversion"/>
  </si>
  <si>
    <t>truck_O</t>
    <phoneticPr fontId="35" type="noConversion"/>
  </si>
  <si>
    <t>truck_D</t>
    <phoneticPr fontId="35" type="noConversion"/>
  </si>
  <si>
    <t>통행량증가율</t>
    <phoneticPr fontId="35" type="noConversion"/>
  </si>
  <si>
    <t>연평균증가량</t>
    <phoneticPr fontId="35" type="noConversion"/>
  </si>
  <si>
    <t>장항공공주택지구 발생 및 도착량</t>
    <phoneticPr fontId="35" type="noConversion"/>
  </si>
  <si>
    <t>장항 공공주택지구</t>
    <phoneticPr fontId="35" type="noConversion"/>
  </si>
  <si>
    <t>pccar_O</t>
    <phoneticPr fontId="35" type="noConversion"/>
  </si>
  <si>
    <t>pccar_D</t>
    <phoneticPr fontId="35" type="noConversion"/>
  </si>
  <si>
    <t>truck_O</t>
    <phoneticPr fontId="35" type="noConversion"/>
  </si>
  <si>
    <t>일산동구 통행증가율 (2020_2025)</t>
    <phoneticPr fontId="35" type="noConversion"/>
  </si>
  <si>
    <t>일산동구 통행증가율 (2025_2030)</t>
    <phoneticPr fontId="35" type="noConversion"/>
  </si>
  <si>
    <t>일산동구 통행증가율 (2030_2035)</t>
    <phoneticPr fontId="35" type="noConversion"/>
  </si>
  <si>
    <t>일산동구 통행증가율 (2035_2040)</t>
    <phoneticPr fontId="35" type="noConversion"/>
  </si>
  <si>
    <t>일산동구 통행증가율 (2040_2045)</t>
    <phoneticPr fontId="35" type="noConversion"/>
  </si>
  <si>
    <t>일산동구 통행증가율 (2045_2050)</t>
    <phoneticPr fontId="35" type="noConversion"/>
  </si>
  <si>
    <t>일산 동구(장항1동 제외) 통행량 증가율</t>
    <phoneticPr fontId="35" type="noConversion"/>
  </si>
  <si>
    <t>bus_O</t>
    <phoneticPr fontId="35" type="noConversion"/>
  </si>
  <si>
    <t>20_25</t>
    <phoneticPr fontId="35" type="noConversion"/>
  </si>
  <si>
    <t>25_30</t>
    <phoneticPr fontId="35" type="noConversion"/>
  </si>
  <si>
    <t>30_35</t>
    <phoneticPr fontId="35" type="noConversion"/>
  </si>
  <si>
    <t>35_40</t>
    <phoneticPr fontId="35" type="noConversion"/>
  </si>
  <si>
    <t>40_45</t>
    <phoneticPr fontId="35" type="noConversion"/>
  </si>
  <si>
    <t>45_50</t>
    <phoneticPr fontId="35" type="noConversion"/>
  </si>
  <si>
    <t>기준년도</t>
    <phoneticPr fontId="2" type="noConversion"/>
  </si>
  <si>
    <t>FD-F_fod_zone_O</t>
    <phoneticPr fontId="2" type="noConversion"/>
  </si>
  <si>
    <t>(통행/일)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</si>
</sst>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76" formatCode="0_ "/>
    <numFmt numFmtId="177" formatCode="0.0000"/>
    <numFmt numFmtId="178" formatCode="0.0%"/>
    <numFmt numFmtId="179" formatCode="0.00_ "/>
    <numFmt numFmtId="180" formatCode="0.0000_ "/>
    <numFmt numFmtId="181" formatCode="0.0000000000_ "/>
    <numFmt numFmtId="182" formatCode="0.0000000000_);[Red]\(0.0000000000\)"/>
  </numFmts>
  <fonts count="49">
    <font>
      <sz val="11"/>
      <color theme="1"/>
      <name val="맑은 고딕"/>
      <family val="2"/>
      <scheme val="minor"/>
    </font>
    <font>
      <sz val="10"/>
      <color rgb="FF000000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b/>
      <sz val="10"/>
      <color rgb="FF000000"/>
      <name val="휴먼고딕"/>
      <charset val="129"/>
    </font>
    <font>
      <b/>
      <sz val="10"/>
      <color rgb="FF000000"/>
      <name val="맑은 고딕"/>
      <family val="3"/>
      <charset val="129"/>
      <scheme val="minor"/>
    </font>
    <font>
      <sz val="10"/>
      <color rgb="FF000000"/>
      <name val="휴먼고딕"/>
      <charset val="129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13"/>
      <color rgb="FF0070C0"/>
      <name val="맑은 고딕"/>
      <family val="3"/>
      <charset val="129"/>
      <scheme val="minor"/>
    </font>
    <font>
      <b/>
      <sz val="30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rgb="FF000000"/>
      <name val="HY신명조"/>
      <family val="3"/>
      <charset val="129"/>
    </font>
    <font>
      <sz val="10"/>
      <color rgb="FF000000"/>
      <name val="HY신명조"/>
      <family val="3"/>
      <charset val="129"/>
    </font>
    <font>
      <b/>
      <sz val="9"/>
      <color rgb="FF000000"/>
      <name val="HY신명조"/>
      <family val="3"/>
      <charset val="129"/>
    </font>
    <font>
      <b/>
      <sz val="9"/>
      <color rgb="FF000000"/>
      <name val="맑은 고딕"/>
      <family val="3"/>
      <charset val="129"/>
      <scheme val="minor"/>
    </font>
    <font>
      <sz val="9"/>
      <color rgb="FF000000"/>
      <name val="맑은 고딕"/>
      <family val="3"/>
      <charset val="129"/>
      <scheme val="minor"/>
    </font>
    <font>
      <sz val="9"/>
      <color rgb="FF000000"/>
      <name val="HY신명조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b/>
      <sz val="15"/>
      <color theme="4"/>
      <name val="맑은 고딕"/>
      <family val="3"/>
      <charset val="129"/>
      <scheme val="minor"/>
    </font>
    <font>
      <b/>
      <sz val="15"/>
      <color theme="5"/>
      <name val="맑은 고딕"/>
      <family val="3"/>
      <charset val="129"/>
      <scheme val="minor"/>
    </font>
    <font>
      <b/>
      <sz val="10"/>
      <color rgb="FF000000"/>
      <name val="가는둥근제목체"/>
      <family val="3"/>
      <charset val="129"/>
    </font>
    <font>
      <sz val="10"/>
      <color rgb="FF000000"/>
      <name val="가는둥근제목체"/>
      <family val="3"/>
      <charset val="129"/>
    </font>
    <font>
      <sz val="10.199999999999999"/>
      <color rgb="FF000000"/>
      <name val="맑은 고딕"/>
      <family val="3"/>
      <charset val="129"/>
      <scheme val="minor"/>
    </font>
    <font>
      <b/>
      <sz val="13"/>
      <color theme="1"/>
      <name val="맑은 고딕"/>
      <family val="3"/>
      <charset val="129"/>
      <scheme val="minor"/>
    </font>
    <font>
      <b/>
      <sz val="15"/>
      <color rgb="FF00B0F0"/>
      <name val="맑은 고딕"/>
      <family val="3"/>
      <charset val="129"/>
      <scheme val="minor"/>
    </font>
    <font>
      <b/>
      <sz val="12"/>
      <color rgb="FF00B0F0"/>
      <name val="맑은 고딕"/>
      <family val="3"/>
      <charset val="129"/>
      <scheme val="minor"/>
    </font>
    <font>
      <b/>
      <sz val="12"/>
      <color theme="5"/>
      <name val="맑은 고딕"/>
      <family val="3"/>
      <charset val="129"/>
      <scheme val="minor"/>
    </font>
    <font>
      <b/>
      <sz val="9"/>
      <color rgb="FF000000"/>
      <name val="08서울남산체 B"/>
      <family val="3"/>
      <charset val="129"/>
    </font>
    <font>
      <b/>
      <sz val="11"/>
      <color rgb="FF000000"/>
      <name val="08서울남산체 B"/>
      <family val="3"/>
      <charset val="129"/>
    </font>
    <font>
      <sz val="9"/>
      <color rgb="FF000000"/>
      <name val="08서울남산체 B"/>
      <family val="3"/>
      <charset val="129"/>
    </font>
    <font>
      <sz val="10"/>
      <color rgb="FF000000"/>
      <name val="08서울남산체 B"/>
      <family val="3"/>
      <charset val="129"/>
    </font>
    <font>
      <sz val="11"/>
      <color rgb="FF000000"/>
      <name val="맑은 고딕"/>
      <family val="3"/>
      <charset val="129"/>
      <scheme val="minor"/>
    </font>
    <font>
      <sz val="11"/>
      <color rgb="FF000000"/>
      <name val="08서울남산체 B"/>
      <family val="3"/>
      <charset val="129"/>
    </font>
    <font>
      <sz val="8"/>
      <name val="맑은 고딕"/>
      <family val="2"/>
      <charset val="129"/>
      <scheme val="minor"/>
    </font>
    <font>
      <sz val="20"/>
      <color theme="1"/>
      <name val="맑은 고딕"/>
      <family val="2"/>
      <scheme val="minor"/>
    </font>
    <font>
      <sz val="20"/>
      <color rgb="FF000000"/>
      <name val="휴먼고딕"/>
      <charset val="129"/>
    </font>
    <font>
      <b/>
      <sz val="15"/>
      <color theme="1"/>
      <name val="맑은 고딕"/>
      <family val="3"/>
      <charset val="129"/>
      <scheme val="minor"/>
    </font>
    <font>
      <sz val="10"/>
      <color rgb="FF000000"/>
      <name val="신명 신문명조"/>
      <family val="3"/>
      <charset val="129"/>
    </font>
    <font>
      <sz val="10"/>
      <color rgb="FF000000"/>
      <name val="HCI Hollyhock"/>
      <family val="2"/>
    </font>
    <font>
      <b/>
      <sz val="20"/>
      <color theme="1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b/>
      <sz val="20"/>
      <color rgb="FF000000"/>
      <name val="휴먼고딕"/>
      <charset val="129"/>
    </font>
    <font>
      <b/>
      <sz val="25"/>
      <color rgb="FF000000"/>
      <name val="맑은 고딕"/>
      <family val="3"/>
      <charset val="129"/>
      <scheme val="minor"/>
    </font>
    <font>
      <b/>
      <sz val="15"/>
      <color rgb="FF000000"/>
      <name val="휴먼고딕"/>
      <charset val="129"/>
    </font>
    <font>
      <b/>
      <sz val="15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D8D8D8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6D6D6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E5E5E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FF33"/>
        <bgColor indexed="64"/>
      </patternFill>
    </fill>
  </fills>
  <borders count="149">
    <border>
      <left/>
      <right/>
      <top/>
      <bottom/>
      <diagonal/>
    </border>
    <border>
      <left style="thick">
        <color rgb="FF000000"/>
      </left>
      <right/>
      <top style="thick">
        <color rgb="FF000000"/>
      </top>
      <bottom/>
      <diagonal/>
    </border>
    <border>
      <left/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ck">
        <color rgb="FF000000"/>
      </left>
      <right/>
      <top/>
      <bottom style="double">
        <color rgb="FF000000"/>
      </bottom>
      <diagonal/>
    </border>
    <border>
      <left/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/>
      <top style="thick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 style="thick">
        <color rgb="FF000000"/>
      </right>
      <top style="thick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/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/>
      <diagonal/>
    </border>
    <border>
      <left style="thick">
        <color rgb="FF000000"/>
      </left>
      <right style="thin">
        <color rgb="FF000000"/>
      </right>
      <top/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/>
      <top style="thin">
        <color rgb="FF000000"/>
      </top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/>
      <bottom style="double">
        <color rgb="FF000000"/>
      </bottom>
      <diagonal/>
    </border>
    <border>
      <left/>
      <right style="thin">
        <color rgb="FF000000"/>
      </right>
      <top style="double">
        <color rgb="FF000000"/>
      </top>
      <bottom/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/>
      <diagonal/>
    </border>
    <border>
      <left/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double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/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rgb="FF000000"/>
      </right>
      <top style="medium">
        <color indexed="64"/>
      </top>
      <bottom/>
      <diagonal/>
    </border>
    <border>
      <left style="thin">
        <color rgb="FF000000"/>
      </left>
      <right/>
      <top style="medium">
        <color indexed="64"/>
      </top>
      <bottom style="thin">
        <color rgb="FF000000"/>
      </bottom>
      <diagonal/>
    </border>
    <border>
      <left/>
      <right/>
      <top style="medium">
        <color indexed="64"/>
      </top>
      <bottom style="thin">
        <color rgb="FF000000"/>
      </bottom>
      <diagonal/>
    </border>
    <border>
      <left/>
      <right style="thin">
        <color rgb="FF000000"/>
      </right>
      <top style="medium">
        <color indexed="64"/>
      </top>
      <bottom style="thin">
        <color rgb="FF000000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double">
        <color rgb="FF000000"/>
      </bottom>
      <diagonal/>
    </border>
    <border>
      <left style="medium">
        <color indexed="64"/>
      </left>
      <right style="thin">
        <color rgb="FF000000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/>
      <top style="thin">
        <color rgb="FF000000"/>
      </top>
      <bottom style="medium">
        <color indexed="64"/>
      </bottom>
      <diagonal/>
    </border>
    <border>
      <left/>
      <right/>
      <top style="thin">
        <color rgb="FF000000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double">
        <color rgb="FF000000"/>
      </right>
      <top style="thick">
        <color rgb="FF000000"/>
      </top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double">
        <color rgb="FF000000"/>
      </right>
      <top style="double">
        <color rgb="FF000000"/>
      </top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/>
      <diagonal/>
    </border>
    <border>
      <left style="thin">
        <color rgb="FF000000"/>
      </left>
      <right style="double">
        <color rgb="FF000000"/>
      </right>
      <top/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double">
        <color rgb="FF000000"/>
      </right>
      <top style="thick">
        <color rgb="FF000000"/>
      </top>
      <bottom/>
      <diagonal/>
    </border>
    <border>
      <left/>
      <right style="double">
        <color rgb="FF000000"/>
      </right>
      <top/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42" fillId="0" borderId="0" applyFont="0" applyFill="0" applyBorder="0" applyAlignment="0" applyProtection="0">
      <alignment vertical="center"/>
    </xf>
    <xf numFmtId="0" fontId="48" fillId="0" borderId="0">
      <alignment vertical="center"/>
    </xf>
  </cellStyleXfs>
  <cellXfs count="661">
    <xf numFmtId="0" fontId="0" fillId="0" borderId="0" xfId="0"/>
    <xf numFmtId="0" fontId="3" fillId="2" borderId="7" xfId="0" applyFont="1" applyFill="1" applyBorder="1" applyAlignment="1">
      <alignment horizontal="center" vertical="center" wrapText="1"/>
    </xf>
    <xf numFmtId="0" fontId="3" fillId="2" borderId="8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 wrapText="1"/>
    </xf>
    <xf numFmtId="0" fontId="3" fillId="2" borderId="18" xfId="0" applyFont="1" applyFill="1" applyBorder="1" applyAlignment="1">
      <alignment horizontal="center" vertical="center" wrapText="1"/>
    </xf>
    <xf numFmtId="0" fontId="1" fillId="0" borderId="22" xfId="0" applyFont="1" applyBorder="1" applyAlignment="1">
      <alignment horizontal="center" vertical="center" wrapText="1"/>
    </xf>
    <xf numFmtId="0" fontId="1" fillId="0" borderId="23" xfId="0" applyFont="1" applyBorder="1" applyAlignment="1">
      <alignment horizontal="center" vertical="center" wrapText="1"/>
    </xf>
    <xf numFmtId="3" fontId="1" fillId="0" borderId="27" xfId="0" applyNumberFormat="1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3" fontId="1" fillId="0" borderId="28" xfId="0" applyNumberFormat="1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0" fillId="0" borderId="31" xfId="0" applyBorder="1" applyAlignment="1">
      <alignment vertical="center" wrapText="1"/>
    </xf>
    <xf numFmtId="0" fontId="5" fillId="0" borderId="27" xfId="0" applyFont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 wrapText="1"/>
    </xf>
    <xf numFmtId="3" fontId="1" fillId="0" borderId="35" xfId="0" applyNumberFormat="1" applyFont="1" applyBorder="1" applyAlignment="1">
      <alignment horizontal="center" vertical="center" wrapText="1"/>
    </xf>
    <xf numFmtId="3" fontId="1" fillId="0" borderId="36" xfId="0" applyNumberFormat="1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3" fontId="1" fillId="0" borderId="0" xfId="0" applyNumberFormat="1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10" fillId="0" borderId="0" xfId="0" applyFont="1"/>
    <xf numFmtId="0" fontId="11" fillId="0" borderId="0" xfId="0" applyFont="1"/>
    <xf numFmtId="0" fontId="5" fillId="2" borderId="17" xfId="0" applyFont="1" applyFill="1" applyBorder="1" applyAlignment="1">
      <alignment horizontal="center" vertical="center" wrapText="1"/>
    </xf>
    <xf numFmtId="0" fontId="5" fillId="2" borderId="18" xfId="0" applyFont="1" applyFill="1" applyBorder="1" applyAlignment="1">
      <alignment horizontal="center" vertical="center" wrapText="1"/>
    </xf>
    <xf numFmtId="0" fontId="4" fillId="0" borderId="35" xfId="0" applyFont="1" applyBorder="1" applyAlignment="1">
      <alignment horizontal="center" vertical="center" wrapText="1"/>
    </xf>
    <xf numFmtId="3" fontId="4" fillId="0" borderId="35" xfId="0" applyNumberFormat="1" applyFont="1" applyBorder="1" applyAlignment="1">
      <alignment horizontal="center" vertical="center" wrapText="1"/>
    </xf>
    <xf numFmtId="3" fontId="4" fillId="0" borderId="36" xfId="0" applyNumberFormat="1" applyFont="1" applyBorder="1" applyAlignment="1">
      <alignment horizontal="center" vertical="center" wrapText="1"/>
    </xf>
    <xf numFmtId="0" fontId="12" fillId="0" borderId="0" xfId="0" applyFont="1"/>
    <xf numFmtId="0" fontId="12" fillId="0" borderId="0" xfId="0" applyFont="1" applyAlignment="1">
      <alignment horizontal="center"/>
    </xf>
    <xf numFmtId="0" fontId="0" fillId="3" borderId="0" xfId="0" applyFill="1"/>
    <xf numFmtId="0" fontId="13" fillId="4" borderId="40" xfId="0" applyFont="1" applyFill="1" applyBorder="1" applyAlignment="1">
      <alignment horizontal="center" vertical="center" wrapText="1"/>
    </xf>
    <xf numFmtId="0" fontId="13" fillId="4" borderId="17" xfId="0" applyFont="1" applyFill="1" applyBorder="1" applyAlignment="1">
      <alignment horizontal="center" vertical="center" wrapText="1"/>
    </xf>
    <xf numFmtId="0" fontId="13" fillId="4" borderId="49" xfId="0" applyFont="1" applyFill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50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0" fontId="1" fillId="0" borderId="40" xfId="0" applyFont="1" applyBorder="1" applyAlignment="1">
      <alignment horizontal="center" vertical="center" wrapText="1"/>
    </xf>
    <xf numFmtId="0" fontId="14" fillId="0" borderId="34" xfId="0" applyFont="1" applyBorder="1" applyAlignment="1">
      <alignment horizontal="center" vertical="center" wrapText="1"/>
    </xf>
    <xf numFmtId="3" fontId="1" fillId="0" borderId="48" xfId="0" applyNumberFormat="1" applyFont="1" applyBorder="1" applyAlignment="1">
      <alignment horizontal="center" vertical="center" wrapText="1"/>
    </xf>
    <xf numFmtId="0" fontId="14" fillId="0" borderId="22" xfId="0" applyFont="1" applyBorder="1" applyAlignment="1">
      <alignment horizontal="center" vertical="center" wrapText="1"/>
    </xf>
    <xf numFmtId="0" fontId="14" fillId="0" borderId="50" xfId="0" applyFont="1" applyBorder="1" applyAlignment="1">
      <alignment horizontal="center" vertical="center" wrapText="1"/>
    </xf>
    <xf numFmtId="0" fontId="14" fillId="0" borderId="27" xfId="0" applyFont="1" applyBorder="1" applyAlignment="1">
      <alignment horizontal="center" vertical="center" wrapText="1"/>
    </xf>
    <xf numFmtId="0" fontId="14" fillId="0" borderId="40" xfId="0" applyFont="1" applyBorder="1" applyAlignment="1">
      <alignment horizontal="center" vertical="center" wrapText="1"/>
    </xf>
    <xf numFmtId="0" fontId="14" fillId="0" borderId="35" xfId="0" applyFont="1" applyBorder="1" applyAlignment="1">
      <alignment horizontal="center" vertical="center" wrapText="1"/>
    </xf>
    <xf numFmtId="0" fontId="14" fillId="0" borderId="48" xfId="0" applyFont="1" applyBorder="1" applyAlignment="1">
      <alignment horizontal="center" vertical="center" wrapText="1"/>
    </xf>
    <xf numFmtId="0" fontId="15" fillId="4" borderId="17" xfId="0" applyFont="1" applyFill="1" applyBorder="1" applyAlignment="1">
      <alignment horizontal="center" vertical="center" wrapText="1"/>
    </xf>
    <xf numFmtId="3" fontId="14" fillId="0" borderId="35" xfId="0" applyNumberFormat="1" applyFont="1" applyBorder="1" applyAlignment="1">
      <alignment horizontal="center" vertical="center" wrapText="1"/>
    </xf>
    <xf numFmtId="3" fontId="14" fillId="0" borderId="48" xfId="0" applyNumberFormat="1" applyFont="1" applyBorder="1" applyAlignment="1">
      <alignment horizontal="center" vertical="center" wrapText="1"/>
    </xf>
    <xf numFmtId="0" fontId="13" fillId="2" borderId="17" xfId="0" applyFont="1" applyFill="1" applyBorder="1" applyAlignment="1">
      <alignment horizontal="center" vertical="center" wrapText="1"/>
    </xf>
    <xf numFmtId="0" fontId="13" fillId="2" borderId="49" xfId="0" applyFont="1" applyFill="1" applyBorder="1" applyAlignment="1">
      <alignment horizontal="center" vertical="center" wrapText="1"/>
    </xf>
    <xf numFmtId="0" fontId="1" fillId="0" borderId="48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left" vertical="center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right" vertical="center"/>
    </xf>
    <xf numFmtId="0" fontId="0" fillId="0" borderId="0" xfId="0" applyAlignment="1">
      <alignment horizontal="right"/>
    </xf>
    <xf numFmtId="0" fontId="13" fillId="4" borderId="47" xfId="0" applyFont="1" applyFill="1" applyBorder="1" applyAlignment="1">
      <alignment horizontal="center" vertical="center" wrapText="1"/>
    </xf>
    <xf numFmtId="0" fontId="13" fillId="4" borderId="54" xfId="0" applyFont="1" applyFill="1" applyBorder="1" applyAlignment="1">
      <alignment horizontal="center" vertical="center" wrapText="1"/>
    </xf>
    <xf numFmtId="3" fontId="14" fillId="0" borderId="56" xfId="0" applyNumberFormat="1" applyFont="1" applyBorder="1" applyAlignment="1">
      <alignment horizontal="center" vertical="center" wrapText="1"/>
    </xf>
    <xf numFmtId="0" fontId="14" fillId="0" borderId="56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3" fontId="1" fillId="0" borderId="56" xfId="0" applyNumberFormat="1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3" fontId="1" fillId="3" borderId="56" xfId="0" applyNumberFormat="1" applyFont="1" applyFill="1" applyBorder="1" applyAlignment="1">
      <alignment horizontal="center" vertical="center" wrapText="1"/>
    </xf>
    <xf numFmtId="0" fontId="0" fillId="5" borderId="0" xfId="0" applyFill="1"/>
    <xf numFmtId="0" fontId="19" fillId="0" borderId="0" xfId="0" applyFont="1"/>
    <xf numFmtId="0" fontId="3" fillId="4" borderId="60" xfId="0" applyFont="1" applyFill="1" applyBorder="1" applyAlignment="1">
      <alignment horizontal="center" vertical="center" wrapText="1"/>
    </xf>
    <xf numFmtId="0" fontId="3" fillId="4" borderId="61" xfId="0" applyFont="1" applyFill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10" fontId="1" fillId="0" borderId="22" xfId="0" applyNumberFormat="1" applyFont="1" applyBorder="1" applyAlignment="1">
      <alignment horizontal="center" vertical="center" wrapText="1"/>
    </xf>
    <xf numFmtId="10" fontId="1" fillId="0" borderId="21" xfId="0" applyNumberFormat="1" applyFont="1" applyBorder="1" applyAlignment="1">
      <alignment horizontal="center" vertical="center" wrapText="1"/>
    </xf>
    <xf numFmtId="10" fontId="1" fillId="0" borderId="63" xfId="0" applyNumberFormat="1" applyFont="1" applyBorder="1" applyAlignment="1">
      <alignment horizontal="center" vertical="center" wrapText="1"/>
    </xf>
    <xf numFmtId="10" fontId="1" fillId="0" borderId="27" xfId="0" applyNumberFormat="1" applyFont="1" applyBorder="1" applyAlignment="1">
      <alignment horizontal="center" vertical="center" wrapText="1"/>
    </xf>
    <xf numFmtId="10" fontId="1" fillId="0" borderId="26" xfId="0" applyNumberFormat="1" applyFont="1" applyBorder="1" applyAlignment="1">
      <alignment horizontal="center" vertical="center" wrapText="1"/>
    </xf>
    <xf numFmtId="10" fontId="1" fillId="0" borderId="42" xfId="0" applyNumberFormat="1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10" fontId="1" fillId="0" borderId="35" xfId="0" applyNumberFormat="1" applyFont="1" applyBorder="1" applyAlignment="1">
      <alignment horizontal="center" vertical="center" wrapText="1"/>
    </xf>
    <xf numFmtId="10" fontId="1" fillId="0" borderId="34" xfId="0" applyNumberFormat="1" applyFont="1" applyBorder="1" applyAlignment="1">
      <alignment horizontal="center" vertical="center" wrapText="1"/>
    </xf>
    <xf numFmtId="10" fontId="1" fillId="0" borderId="65" xfId="0" applyNumberFormat="1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3" fillId="4" borderId="57" xfId="0" applyFont="1" applyFill="1" applyBorder="1" applyAlignment="1">
      <alignment horizontal="center" vertical="center" wrapText="1"/>
    </xf>
    <xf numFmtId="0" fontId="5" fillId="0" borderId="66" xfId="0" applyFont="1" applyBorder="1" applyAlignment="1">
      <alignment horizontal="center" vertical="center" wrapText="1"/>
    </xf>
    <xf numFmtId="0" fontId="1" fillId="0" borderId="67" xfId="0" applyFont="1" applyBorder="1" applyAlignment="1">
      <alignment horizontal="center" vertical="center" wrapText="1"/>
    </xf>
    <xf numFmtId="0" fontId="1" fillId="0" borderId="68" xfId="0" applyFont="1" applyBorder="1" applyAlignment="1">
      <alignment horizontal="center" vertical="center" wrapText="1"/>
    </xf>
    <xf numFmtId="0" fontId="3" fillId="4" borderId="0" xfId="0" applyFont="1" applyFill="1" applyBorder="1" applyAlignment="1">
      <alignment horizontal="center" vertical="center" wrapText="1"/>
    </xf>
    <xf numFmtId="3" fontId="0" fillId="0" borderId="0" xfId="0" applyNumberFormat="1"/>
    <xf numFmtId="0" fontId="0" fillId="0" borderId="56" xfId="0" applyBorder="1"/>
    <xf numFmtId="0" fontId="20" fillId="0" borderId="0" xfId="0" applyFont="1"/>
    <xf numFmtId="0" fontId="12" fillId="0" borderId="56" xfId="0" applyFont="1" applyBorder="1"/>
    <xf numFmtId="0" fontId="0" fillId="3" borderId="56" xfId="0" applyFill="1" applyBorder="1"/>
    <xf numFmtId="0" fontId="21" fillId="0" borderId="0" xfId="0" applyFont="1"/>
    <xf numFmtId="0" fontId="5" fillId="0" borderId="56" xfId="0" applyFont="1" applyBorder="1" applyAlignment="1">
      <alignment horizontal="center" vertical="center" wrapText="1"/>
    </xf>
    <xf numFmtId="0" fontId="0" fillId="0" borderId="56" xfId="0" applyBorder="1" applyAlignment="1">
      <alignment vertical="center" wrapText="1"/>
    </xf>
    <xf numFmtId="0" fontId="22" fillId="6" borderId="7" xfId="0" applyFont="1" applyFill="1" applyBorder="1" applyAlignment="1">
      <alignment horizontal="center" vertical="center" wrapText="1"/>
    </xf>
    <xf numFmtId="0" fontId="22" fillId="6" borderId="9" xfId="0" applyFont="1" applyFill="1" applyBorder="1" applyAlignment="1">
      <alignment horizontal="center" vertical="center" wrapText="1"/>
    </xf>
    <xf numFmtId="0" fontId="22" fillId="6" borderId="17" xfId="0" applyFont="1" applyFill="1" applyBorder="1" applyAlignment="1">
      <alignment horizontal="center" vertical="center" wrapText="1"/>
    </xf>
    <xf numFmtId="3" fontId="24" fillId="0" borderId="22" xfId="0" applyNumberFormat="1" applyFont="1" applyBorder="1" applyAlignment="1">
      <alignment horizontal="right" vertical="center" wrapText="1"/>
    </xf>
    <xf numFmtId="3" fontId="24" fillId="0" borderId="23" xfId="0" applyNumberFormat="1" applyFont="1" applyBorder="1" applyAlignment="1">
      <alignment horizontal="right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0" fillId="0" borderId="8" xfId="0" applyBorder="1" applyAlignment="1">
      <alignment vertical="center" wrapText="1"/>
    </xf>
    <xf numFmtId="0" fontId="0" fillId="0" borderId="79" xfId="0" applyBorder="1" applyAlignment="1">
      <alignment vertical="center" wrapText="1"/>
    </xf>
    <xf numFmtId="3" fontId="24" fillId="0" borderId="27" xfId="0" applyNumberFormat="1" applyFont="1" applyBorder="1" applyAlignment="1">
      <alignment horizontal="right" vertical="center" wrapText="1"/>
    </xf>
    <xf numFmtId="3" fontId="24" fillId="0" borderId="28" xfId="0" applyNumberFormat="1" applyFont="1" applyBorder="1" applyAlignment="1">
      <alignment horizontal="right" vertical="center" wrapText="1"/>
    </xf>
    <xf numFmtId="0" fontId="23" fillId="0" borderId="79" xfId="0" applyFont="1" applyBorder="1" applyAlignment="1">
      <alignment horizontal="center" vertical="center" wrapText="1"/>
    </xf>
    <xf numFmtId="0" fontId="24" fillId="0" borderId="27" xfId="0" applyFont="1" applyBorder="1" applyAlignment="1">
      <alignment horizontal="right" vertical="center" wrapText="1"/>
    </xf>
    <xf numFmtId="0" fontId="23" fillId="0" borderId="27" xfId="0" applyFont="1" applyBorder="1" applyAlignment="1">
      <alignment horizontal="center" vertical="center" wrapText="1"/>
    </xf>
    <xf numFmtId="0" fontId="0" fillId="0" borderId="80" xfId="0" applyBorder="1" applyAlignment="1">
      <alignment vertical="center" wrapText="1"/>
    </xf>
    <xf numFmtId="0" fontId="24" fillId="0" borderId="28" xfId="0" applyFont="1" applyBorder="1" applyAlignment="1">
      <alignment horizontal="right" vertical="center" wrapText="1"/>
    </xf>
    <xf numFmtId="3" fontId="24" fillId="0" borderId="35" xfId="0" applyNumberFormat="1" applyFont="1" applyBorder="1" applyAlignment="1">
      <alignment horizontal="right" vertical="center" wrapText="1"/>
    </xf>
    <xf numFmtId="3" fontId="24" fillId="0" borderId="36" xfId="0" applyNumberFormat="1" applyFont="1" applyBorder="1" applyAlignment="1">
      <alignment horizontal="right" vertical="center" wrapText="1"/>
    </xf>
    <xf numFmtId="3" fontId="24" fillId="0" borderId="75" xfId="0" applyNumberFormat="1" applyFont="1" applyBorder="1" applyAlignment="1">
      <alignment horizontal="right" vertical="center" wrapText="1"/>
    </xf>
    <xf numFmtId="3" fontId="24" fillId="0" borderId="82" xfId="0" applyNumberFormat="1" applyFont="1" applyBorder="1" applyAlignment="1">
      <alignment horizontal="right" vertical="center" wrapText="1"/>
    </xf>
    <xf numFmtId="0" fontId="22" fillId="6" borderId="60" xfId="0" applyFont="1" applyFill="1" applyBorder="1" applyAlignment="1">
      <alignment horizontal="center" vertical="center" wrapText="1"/>
    </xf>
    <xf numFmtId="0" fontId="22" fillId="6" borderId="61" xfId="0" applyFont="1" applyFill="1" applyBorder="1" applyAlignment="1">
      <alignment horizontal="center" vertical="center" wrapText="1"/>
    </xf>
    <xf numFmtId="0" fontId="23" fillId="0" borderId="22" xfId="0" applyFont="1" applyBorder="1" applyAlignment="1">
      <alignment horizontal="center" vertical="center" wrapText="1"/>
    </xf>
    <xf numFmtId="3" fontId="1" fillId="0" borderId="22" xfId="0" applyNumberFormat="1" applyFont="1" applyBorder="1" applyAlignment="1">
      <alignment horizontal="center" vertical="center" wrapText="1"/>
    </xf>
    <xf numFmtId="3" fontId="1" fillId="0" borderId="23" xfId="0" applyNumberFormat="1" applyFont="1" applyBorder="1" applyAlignment="1">
      <alignment horizontal="center" vertical="center" wrapText="1"/>
    </xf>
    <xf numFmtId="0" fontId="23" fillId="0" borderId="35" xfId="0" applyFont="1" applyBorder="1" applyAlignment="1">
      <alignment horizontal="center" vertical="center" wrapText="1"/>
    </xf>
    <xf numFmtId="0" fontId="1" fillId="0" borderId="36" xfId="0" applyFont="1" applyBorder="1" applyAlignment="1">
      <alignment horizontal="center" vertical="center" wrapText="1"/>
    </xf>
    <xf numFmtId="0" fontId="23" fillId="0" borderId="84" xfId="0" applyFont="1" applyBorder="1" applyAlignment="1">
      <alignment horizontal="center" vertical="center" wrapText="1"/>
    </xf>
    <xf numFmtId="0" fontId="1" fillId="0" borderId="22" xfId="0" applyFont="1" applyBorder="1" applyAlignment="1">
      <alignment horizontal="right" vertical="center" wrapText="1"/>
    </xf>
    <xf numFmtId="0" fontId="1" fillId="0" borderId="23" xfId="0" applyFont="1" applyBorder="1" applyAlignment="1">
      <alignment horizontal="right" vertical="center" wrapText="1"/>
    </xf>
    <xf numFmtId="0" fontId="1" fillId="0" borderId="27" xfId="0" applyFont="1" applyBorder="1" applyAlignment="1">
      <alignment horizontal="right" vertical="center" wrapText="1"/>
    </xf>
    <xf numFmtId="0" fontId="1" fillId="0" borderId="28" xfId="0" applyFont="1" applyBorder="1" applyAlignment="1">
      <alignment horizontal="right" vertical="center" wrapText="1"/>
    </xf>
    <xf numFmtId="0" fontId="1" fillId="0" borderId="35" xfId="0" applyFont="1" applyBorder="1" applyAlignment="1">
      <alignment horizontal="right" vertical="center" wrapText="1"/>
    </xf>
    <xf numFmtId="0" fontId="1" fillId="0" borderId="36" xfId="0" applyFont="1" applyBorder="1" applyAlignment="1">
      <alignment horizontal="right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right" vertical="center" wrapText="1"/>
    </xf>
    <xf numFmtId="0" fontId="22" fillId="6" borderId="92" xfId="0" applyFont="1" applyFill="1" applyBorder="1" applyAlignment="1">
      <alignment vertical="center" wrapText="1"/>
    </xf>
    <xf numFmtId="0" fontId="22" fillId="6" borderId="93" xfId="0" applyFont="1" applyFill="1" applyBorder="1" applyAlignment="1">
      <alignment vertical="center" wrapText="1"/>
    </xf>
    <xf numFmtId="0" fontId="22" fillId="6" borderId="94" xfId="0" applyFont="1" applyFill="1" applyBorder="1" applyAlignment="1">
      <alignment vertical="center" wrapText="1"/>
    </xf>
    <xf numFmtId="0" fontId="1" fillId="0" borderId="97" xfId="0" applyFont="1" applyBorder="1" applyAlignment="1">
      <alignment vertical="center" wrapText="1"/>
    </xf>
    <xf numFmtId="0" fontId="1" fillId="0" borderId="99" xfId="0" applyFont="1" applyBorder="1" applyAlignment="1">
      <alignment vertical="center" wrapText="1"/>
    </xf>
    <xf numFmtId="0" fontId="0" fillId="0" borderId="100" xfId="0" applyBorder="1" applyAlignment="1">
      <alignment vertical="center" wrapText="1"/>
    </xf>
    <xf numFmtId="0" fontId="22" fillId="6" borderId="47" xfId="0" applyFont="1" applyFill="1" applyBorder="1" applyAlignment="1">
      <alignment horizontal="center" vertical="center" wrapText="1"/>
    </xf>
    <xf numFmtId="0" fontId="24" fillId="3" borderId="56" xfId="0" applyFont="1" applyFill="1" applyBorder="1" applyAlignment="1">
      <alignment horizontal="right" vertical="center" wrapText="1"/>
    </xf>
    <xf numFmtId="0" fontId="0" fillId="3" borderId="104" xfId="0" applyFill="1" applyBorder="1"/>
    <xf numFmtId="0" fontId="24" fillId="3" borderId="105" xfId="0" applyFont="1" applyFill="1" applyBorder="1" applyAlignment="1">
      <alignment horizontal="right" vertical="center" wrapText="1"/>
    </xf>
    <xf numFmtId="0" fontId="0" fillId="3" borderId="105" xfId="0" applyFill="1" applyBorder="1"/>
    <xf numFmtId="0" fontId="0" fillId="3" borderId="106" xfId="0" applyFill="1" applyBorder="1"/>
    <xf numFmtId="0" fontId="26" fillId="0" borderId="0" xfId="0" applyFont="1"/>
    <xf numFmtId="0" fontId="22" fillId="6" borderId="57" xfId="0" applyFont="1" applyFill="1" applyBorder="1" applyAlignment="1">
      <alignment horizontal="center" vertical="center" wrapText="1"/>
    </xf>
    <xf numFmtId="0" fontId="23" fillId="0" borderId="66" xfId="0" applyFont="1" applyBorder="1" applyAlignment="1">
      <alignment horizontal="center" vertical="center" wrapText="1"/>
    </xf>
    <xf numFmtId="0" fontId="27" fillId="0" borderId="0" xfId="0" applyFont="1"/>
    <xf numFmtId="0" fontId="28" fillId="0" borderId="0" xfId="0" applyFont="1"/>
    <xf numFmtId="0" fontId="0" fillId="8" borderId="0" xfId="0" applyFill="1"/>
    <xf numFmtId="0" fontId="12" fillId="8" borderId="56" xfId="0" applyFont="1" applyFill="1" applyBorder="1"/>
    <xf numFmtId="0" fontId="0" fillId="8" borderId="56" xfId="0" applyFill="1" applyBorder="1"/>
    <xf numFmtId="1" fontId="0" fillId="8" borderId="56" xfId="0" applyNumberFormat="1" applyFill="1" applyBorder="1"/>
    <xf numFmtId="0" fontId="0" fillId="0" borderId="0" xfId="0" applyAlignment="1">
      <alignment wrapText="1"/>
    </xf>
    <xf numFmtId="0" fontId="1" fillId="0" borderId="0" xfId="0" applyFont="1" applyAlignment="1">
      <alignment horizontal="justify" vertical="center"/>
    </xf>
    <xf numFmtId="0" fontId="32" fillId="0" borderId="0" xfId="0" applyFont="1" applyAlignment="1">
      <alignment horizontal="justify" vertical="center"/>
    </xf>
    <xf numFmtId="0" fontId="30" fillId="0" borderId="0" xfId="0" applyFont="1" applyFill="1" applyBorder="1" applyAlignment="1">
      <alignment horizontal="justify" vertical="center"/>
    </xf>
    <xf numFmtId="0" fontId="17" fillId="0" borderId="108" xfId="0" applyFont="1" applyBorder="1" applyAlignment="1">
      <alignment horizontal="center" vertical="center" wrapText="1"/>
    </xf>
    <xf numFmtId="0" fontId="17" fillId="0" borderId="28" xfId="0" applyFont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3" fontId="16" fillId="0" borderId="56" xfId="0" applyNumberFormat="1" applyFont="1" applyBorder="1" applyAlignment="1">
      <alignment horizontal="center" vertical="center" wrapText="1"/>
    </xf>
    <xf numFmtId="3" fontId="17" fillId="0" borderId="56" xfId="0" applyNumberFormat="1" applyFont="1" applyBorder="1" applyAlignment="1">
      <alignment horizontal="center" vertical="center" wrapText="1"/>
    </xf>
    <xf numFmtId="0" fontId="17" fillId="0" borderId="56" xfId="0" applyFont="1" applyBorder="1" applyAlignment="1">
      <alignment horizontal="center" vertical="center" wrapText="1"/>
    </xf>
    <xf numFmtId="0" fontId="29" fillId="0" borderId="110" xfId="0" applyFont="1" applyBorder="1" applyAlignment="1">
      <alignment horizontal="center" vertical="center" wrapText="1"/>
    </xf>
    <xf numFmtId="0" fontId="29" fillId="0" borderId="61" xfId="0" applyFont="1" applyBorder="1" applyAlignment="1">
      <alignment horizontal="center" vertical="center" wrapText="1"/>
    </xf>
    <xf numFmtId="0" fontId="31" fillId="0" borderId="84" xfId="0" applyFont="1" applyBorder="1" applyAlignment="1">
      <alignment horizontal="center" vertical="center" wrapText="1"/>
    </xf>
    <xf numFmtId="0" fontId="17" fillId="0" borderId="79" xfId="0" applyFont="1" applyBorder="1" applyAlignment="1">
      <alignment horizontal="center" vertical="center" wrapText="1"/>
    </xf>
    <xf numFmtId="0" fontId="31" fillId="0" borderId="111" xfId="0" applyFont="1" applyBorder="1" applyAlignment="1">
      <alignment horizontal="center" vertical="center" wrapText="1"/>
    </xf>
    <xf numFmtId="0" fontId="17" fillId="0" borderId="112" xfId="0" applyFont="1" applyBorder="1" applyAlignment="1">
      <alignment horizontal="center" vertical="center" wrapText="1"/>
    </xf>
    <xf numFmtId="0" fontId="17" fillId="0" borderId="23" xfId="0" applyFont="1" applyBorder="1" applyAlignment="1">
      <alignment horizontal="center" vertical="center" wrapText="1"/>
    </xf>
    <xf numFmtId="0" fontId="31" fillId="0" borderId="113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7" fillId="0" borderId="80" xfId="0" applyFont="1" applyBorder="1" applyAlignment="1">
      <alignment horizontal="center" vertical="center" wrapText="1"/>
    </xf>
    <xf numFmtId="0" fontId="31" fillId="0" borderId="120" xfId="0" applyFont="1" applyBorder="1" applyAlignment="1">
      <alignment horizontal="center" vertical="center" wrapText="1"/>
    </xf>
    <xf numFmtId="0" fontId="17" fillId="0" borderId="107" xfId="0" applyFont="1" applyBorder="1" applyAlignment="1">
      <alignment horizontal="center" vertical="center" wrapText="1"/>
    </xf>
    <xf numFmtId="0" fontId="17" fillId="0" borderId="3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  <xf numFmtId="3" fontId="16" fillId="8" borderId="56" xfId="0" applyNumberFormat="1" applyFont="1" applyFill="1" applyBorder="1" applyAlignment="1">
      <alignment horizontal="center" vertical="center" wrapText="1"/>
    </xf>
    <xf numFmtId="0" fontId="16" fillId="8" borderId="56" xfId="0" applyFont="1" applyFill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36" fillId="0" borderId="0" xfId="0" applyFont="1"/>
    <xf numFmtId="0" fontId="36" fillId="0" borderId="0" xfId="0" applyFont="1" applyAlignment="1">
      <alignment vertical="center"/>
    </xf>
    <xf numFmtId="0" fontId="0" fillId="3" borderId="0" xfId="0" applyFill="1" applyAlignment="1">
      <alignment vertical="center"/>
    </xf>
    <xf numFmtId="0" fontId="0" fillId="8" borderId="0" xfId="0" applyFill="1" applyAlignment="1">
      <alignment vertical="center"/>
    </xf>
    <xf numFmtId="0" fontId="0" fillId="9" borderId="0" xfId="0" applyFill="1"/>
    <xf numFmtId="0" fontId="0" fillId="9" borderId="0" xfId="0" applyFill="1" applyAlignment="1">
      <alignment vertical="center"/>
    </xf>
    <xf numFmtId="0" fontId="0" fillId="9" borderId="56" xfId="0" applyFill="1" applyBorder="1"/>
    <xf numFmtId="0" fontId="12" fillId="9" borderId="56" xfId="0" applyFont="1" applyFill="1" applyBorder="1" applyAlignment="1">
      <alignment vertical="center"/>
    </xf>
    <xf numFmtId="0" fontId="5" fillId="9" borderId="56" xfId="0" applyFont="1" applyFill="1" applyBorder="1" applyAlignment="1">
      <alignment horizontal="center" vertical="center" wrapText="1"/>
    </xf>
    <xf numFmtId="0" fontId="37" fillId="0" borderId="0" xfId="0" applyFont="1" applyBorder="1" applyAlignment="1">
      <alignment horizontal="center" vertical="center" wrapText="1"/>
    </xf>
    <xf numFmtId="0" fontId="5" fillId="9" borderId="56" xfId="0" applyFont="1" applyFill="1" applyBorder="1" applyAlignment="1">
      <alignment vertical="center" wrapText="1"/>
    </xf>
    <xf numFmtId="0" fontId="5" fillId="8" borderId="56" xfId="0" applyFont="1" applyFill="1" applyBorder="1" applyAlignment="1">
      <alignment vertical="center" wrapText="1"/>
    </xf>
    <xf numFmtId="2" fontId="0" fillId="8" borderId="56" xfId="0" applyNumberFormat="1" applyFill="1" applyBorder="1"/>
    <xf numFmtId="176" fontId="0" fillId="8" borderId="56" xfId="0" applyNumberFormat="1" applyFill="1" applyBorder="1"/>
    <xf numFmtId="0" fontId="5" fillId="8" borderId="86" xfId="0" applyFont="1" applyFill="1" applyBorder="1" applyAlignment="1">
      <alignment vertical="center" wrapText="1"/>
    </xf>
    <xf numFmtId="0" fontId="5" fillId="8" borderId="86" xfId="0" applyFont="1" applyFill="1" applyBorder="1" applyAlignment="1">
      <alignment horizontal="center" vertical="center" wrapText="1"/>
    </xf>
    <xf numFmtId="0" fontId="12" fillId="8" borderId="125" xfId="0" applyFont="1" applyFill="1" applyBorder="1"/>
    <xf numFmtId="0" fontId="12" fillId="8" borderId="104" xfId="0" applyFont="1" applyFill="1" applyBorder="1"/>
    <xf numFmtId="2" fontId="0" fillId="8" borderId="125" xfId="0" applyNumberFormat="1" applyFill="1" applyBorder="1"/>
    <xf numFmtId="2" fontId="0" fillId="8" borderId="104" xfId="0" applyNumberFormat="1" applyFill="1" applyBorder="1"/>
    <xf numFmtId="2" fontId="0" fillId="8" borderId="126" xfId="0" applyNumberFormat="1" applyFill="1" applyBorder="1"/>
    <xf numFmtId="2" fontId="0" fillId="8" borderId="105" xfId="0" applyNumberFormat="1" applyFill="1" applyBorder="1"/>
    <xf numFmtId="2" fontId="0" fillId="8" borderId="106" xfId="0" applyNumberFormat="1" applyFill="1" applyBorder="1"/>
    <xf numFmtId="176" fontId="0" fillId="8" borderId="125" xfId="0" applyNumberFormat="1" applyFill="1" applyBorder="1"/>
    <xf numFmtId="176" fontId="0" fillId="8" borderId="104" xfId="0" applyNumberFormat="1" applyFill="1" applyBorder="1"/>
    <xf numFmtId="176" fontId="0" fillId="8" borderId="126" xfId="0" applyNumberFormat="1" applyFill="1" applyBorder="1"/>
    <xf numFmtId="176" fontId="0" fillId="8" borderId="105" xfId="0" applyNumberFormat="1" applyFill="1" applyBorder="1"/>
    <xf numFmtId="176" fontId="0" fillId="8" borderId="106" xfId="0" applyNumberFormat="1" applyFill="1" applyBorder="1"/>
    <xf numFmtId="0" fontId="0" fillId="8" borderId="56" xfId="0" applyFill="1" applyBorder="1" applyAlignment="1">
      <alignment horizontal="center" vertical="center"/>
    </xf>
    <xf numFmtId="0" fontId="0" fillId="8" borderId="56" xfId="0" applyFill="1" applyBorder="1" applyAlignment="1">
      <alignment vertical="center"/>
    </xf>
    <xf numFmtId="176" fontId="0" fillId="8" borderId="121" xfId="0" applyNumberFormat="1" applyFill="1" applyBorder="1"/>
    <xf numFmtId="0" fontId="38" fillId="7" borderId="0" xfId="0" applyFont="1" applyFill="1"/>
    <xf numFmtId="0" fontId="0" fillId="7" borderId="0" xfId="0" applyFill="1"/>
    <xf numFmtId="177" fontId="0" fillId="0" borderId="0" xfId="0" applyNumberFormat="1"/>
    <xf numFmtId="177" fontId="0" fillId="8" borderId="56" xfId="0" applyNumberFormat="1" applyFill="1" applyBorder="1" applyAlignment="1">
      <alignment vertical="center"/>
    </xf>
    <xf numFmtId="176" fontId="0" fillId="0" borderId="0" xfId="0" applyNumberFormat="1"/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0" fillId="0" borderId="53" xfId="0" applyBorder="1" applyAlignment="1">
      <alignment vertical="center" wrapText="1"/>
    </xf>
    <xf numFmtId="0" fontId="5" fillId="0" borderId="45" xfId="0" applyFont="1" applyBorder="1" applyAlignment="1">
      <alignment horizontal="center" vertical="center" wrapText="1"/>
    </xf>
    <xf numFmtId="0" fontId="40" fillId="0" borderId="75" xfId="0" applyFont="1" applyBorder="1" applyAlignment="1">
      <alignment horizontal="center" vertical="center" wrapText="1"/>
    </xf>
    <xf numFmtId="0" fontId="39" fillId="0" borderId="45" xfId="0" applyFont="1" applyBorder="1" applyAlignment="1">
      <alignment horizontal="center" vertical="center" wrapText="1"/>
    </xf>
    <xf numFmtId="0" fontId="39" fillId="0" borderId="38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40" fillId="0" borderId="79" xfId="0" applyFont="1" applyBorder="1" applyAlignment="1">
      <alignment horizontal="center" vertical="center" wrapText="1"/>
    </xf>
    <xf numFmtId="0" fontId="39" fillId="0" borderId="12" xfId="0" applyFont="1" applyBorder="1" applyAlignment="1">
      <alignment horizontal="center" vertical="center" wrapText="1"/>
    </xf>
    <xf numFmtId="0" fontId="39" fillId="0" borderId="15" xfId="0" applyFont="1" applyBorder="1" applyAlignment="1">
      <alignment horizontal="center" vertical="center" wrapText="1"/>
    </xf>
    <xf numFmtId="0" fontId="5" fillId="0" borderId="53" xfId="0" applyFont="1" applyBorder="1" applyAlignment="1">
      <alignment horizontal="center" vertical="center" wrapText="1"/>
    </xf>
    <xf numFmtId="0" fontId="40" fillId="0" borderId="80" xfId="0" applyFont="1" applyBorder="1" applyAlignment="1">
      <alignment horizontal="center" vertical="center" wrapText="1"/>
    </xf>
    <xf numFmtId="0" fontId="39" fillId="0" borderId="53" xfId="0" applyFont="1" applyBorder="1" applyAlignment="1">
      <alignment horizontal="center" vertical="center" wrapText="1"/>
    </xf>
    <xf numFmtId="0" fontId="39" fillId="0" borderId="127" xfId="0" applyFont="1" applyBorder="1" applyAlignment="1">
      <alignment horizontal="center" vertical="center" wrapText="1"/>
    </xf>
    <xf numFmtId="0" fontId="5" fillId="0" borderId="128" xfId="0" applyFont="1" applyBorder="1" applyAlignment="1">
      <alignment horizontal="center" vertical="center" wrapText="1"/>
    </xf>
    <xf numFmtId="0" fontId="5" fillId="0" borderId="129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10" borderId="12" xfId="0" applyFont="1" applyFill="1" applyBorder="1" applyAlignment="1">
      <alignment horizontal="center" vertical="center" wrapText="1"/>
    </xf>
    <xf numFmtId="0" fontId="40" fillId="10" borderId="79" xfId="0" applyFont="1" applyFill="1" applyBorder="1" applyAlignment="1">
      <alignment horizontal="center" vertical="center" wrapText="1"/>
    </xf>
    <xf numFmtId="0" fontId="39" fillId="10" borderId="12" xfId="0" applyFont="1" applyFill="1" applyBorder="1" applyAlignment="1">
      <alignment horizontal="center" vertical="center" wrapText="1"/>
    </xf>
    <xf numFmtId="0" fontId="39" fillId="10" borderId="15" xfId="0" applyFont="1" applyFill="1" applyBorder="1" applyAlignment="1">
      <alignment horizontal="center" vertical="center" wrapText="1"/>
    </xf>
    <xf numFmtId="0" fontId="41" fillId="0" borderId="0" xfId="0" applyFont="1"/>
    <xf numFmtId="0" fontId="40" fillId="0" borderId="27" xfId="0" applyFont="1" applyBorder="1" applyAlignment="1">
      <alignment horizontal="center" vertical="center" wrapText="1"/>
    </xf>
    <xf numFmtId="0" fontId="40" fillId="0" borderId="40" xfId="0" applyFont="1" applyBorder="1" applyAlignment="1">
      <alignment horizontal="center" vertical="center" wrapText="1"/>
    </xf>
    <xf numFmtId="0" fontId="5" fillId="0" borderId="75" xfId="0" applyFont="1" applyBorder="1" applyAlignment="1">
      <alignment horizontal="center" vertical="center" wrapText="1"/>
    </xf>
    <xf numFmtId="0" fontId="40" fillId="0" borderId="35" xfId="0" applyFont="1" applyBorder="1" applyAlignment="1">
      <alignment horizontal="center" vertical="center" wrapText="1"/>
    </xf>
    <xf numFmtId="0" fontId="40" fillId="0" borderId="48" xfId="0" applyFont="1" applyBorder="1" applyAlignment="1">
      <alignment horizontal="center" vertical="center" wrapText="1"/>
    </xf>
    <xf numFmtId="0" fontId="5" fillId="10" borderId="26" xfId="0" applyFont="1" applyFill="1" applyBorder="1" applyAlignment="1">
      <alignment horizontal="center" vertical="center" wrapText="1"/>
    </xf>
    <xf numFmtId="0" fontId="40" fillId="10" borderId="27" xfId="0" applyFont="1" applyFill="1" applyBorder="1" applyAlignment="1">
      <alignment horizontal="center" vertical="center" wrapText="1"/>
    </xf>
    <xf numFmtId="0" fontId="40" fillId="10" borderId="40" xfId="0" applyFont="1" applyFill="1" applyBorder="1" applyAlignment="1">
      <alignment horizontal="center" vertical="center" wrapText="1"/>
    </xf>
    <xf numFmtId="0" fontId="0" fillId="10" borderId="0" xfId="0" applyFill="1"/>
    <xf numFmtId="0" fontId="12" fillId="10" borderId="56" xfId="0" applyFont="1" applyFill="1" applyBorder="1"/>
    <xf numFmtId="0" fontId="5" fillId="10" borderId="56" xfId="0" applyFont="1" applyFill="1" applyBorder="1" applyAlignment="1">
      <alignment vertical="center" wrapText="1"/>
    </xf>
    <xf numFmtId="0" fontId="5" fillId="10" borderId="86" xfId="0" applyFont="1" applyFill="1" applyBorder="1" applyAlignment="1">
      <alignment vertical="center" wrapText="1"/>
    </xf>
    <xf numFmtId="2" fontId="0" fillId="10" borderId="56" xfId="0" applyNumberFormat="1" applyFill="1" applyBorder="1"/>
    <xf numFmtId="2" fontId="0" fillId="10" borderId="125" xfId="0" applyNumberFormat="1" applyFill="1" applyBorder="1"/>
    <xf numFmtId="176" fontId="0" fillId="10" borderId="125" xfId="0" applyNumberFormat="1" applyFill="1" applyBorder="1"/>
    <xf numFmtId="176" fontId="0" fillId="10" borderId="56" xfId="0" applyNumberFormat="1" applyFill="1" applyBorder="1"/>
    <xf numFmtId="0" fontId="5" fillId="10" borderId="86" xfId="0" applyFont="1" applyFill="1" applyBorder="1" applyAlignment="1">
      <alignment horizontal="center" vertical="center" wrapText="1"/>
    </xf>
    <xf numFmtId="2" fontId="0" fillId="10" borderId="126" xfId="0" applyNumberFormat="1" applyFill="1" applyBorder="1"/>
    <xf numFmtId="2" fontId="0" fillId="10" borderId="105" xfId="0" applyNumberFormat="1" applyFill="1" applyBorder="1"/>
    <xf numFmtId="176" fontId="0" fillId="10" borderId="126" xfId="0" applyNumberFormat="1" applyFill="1" applyBorder="1"/>
    <xf numFmtId="176" fontId="0" fillId="10" borderId="105" xfId="0" applyNumberFormat="1" applyFill="1" applyBorder="1"/>
    <xf numFmtId="0" fontId="13" fillId="4" borderId="56" xfId="0" applyFont="1" applyFill="1" applyBorder="1" applyAlignment="1">
      <alignment horizontal="center" vertical="center" wrapText="1"/>
    </xf>
    <xf numFmtId="178" fontId="0" fillId="0" borderId="0" xfId="1" applyNumberFormat="1" applyFont="1" applyAlignment="1"/>
    <xf numFmtId="0" fontId="0" fillId="11" borderId="0" xfId="0" applyFill="1"/>
    <xf numFmtId="0" fontId="12" fillId="11" borderId="0" xfId="0" applyFont="1" applyFill="1"/>
    <xf numFmtId="0" fontId="12" fillId="11" borderId="121" xfId="0" applyFont="1" applyFill="1" applyBorder="1"/>
    <xf numFmtId="176" fontId="0" fillId="11" borderId="0" xfId="0" applyNumberFormat="1" applyFill="1"/>
    <xf numFmtId="0" fontId="5" fillId="7" borderId="0" xfId="0" applyFont="1" applyFill="1" applyBorder="1" applyAlignment="1">
      <alignment horizontal="center" vertical="center" wrapText="1"/>
    </xf>
    <xf numFmtId="0" fontId="1" fillId="7" borderId="0" xfId="0" applyFont="1" applyFill="1" applyBorder="1" applyAlignment="1">
      <alignment horizontal="center" vertical="center" wrapText="1"/>
    </xf>
    <xf numFmtId="3" fontId="1" fillId="7" borderId="0" xfId="0" applyNumberFormat="1" applyFont="1" applyFill="1" applyBorder="1" applyAlignment="1">
      <alignment horizontal="center" vertical="center" wrapText="1"/>
    </xf>
    <xf numFmtId="0" fontId="43" fillId="7" borderId="0" xfId="0" applyFont="1" applyFill="1" applyBorder="1" applyAlignment="1">
      <alignment horizontal="center" vertical="center" wrapText="1"/>
    </xf>
    <xf numFmtId="0" fontId="12" fillId="11" borderId="89" xfId="0" applyFont="1" applyFill="1" applyBorder="1"/>
    <xf numFmtId="0" fontId="12" fillId="11" borderId="90" xfId="0" applyFont="1" applyFill="1" applyBorder="1"/>
    <xf numFmtId="0" fontId="12" fillId="11" borderId="95" xfId="0" applyFont="1" applyFill="1" applyBorder="1"/>
    <xf numFmtId="0" fontId="12" fillId="11" borderId="131" xfId="0" applyFont="1" applyFill="1" applyBorder="1"/>
    <xf numFmtId="176" fontId="12" fillId="11" borderId="0" xfId="0" applyNumberFormat="1" applyFont="1" applyFill="1" applyBorder="1"/>
    <xf numFmtId="176" fontId="12" fillId="11" borderId="98" xfId="0" applyNumberFormat="1" applyFont="1" applyFill="1" applyBorder="1"/>
    <xf numFmtId="0" fontId="12" fillId="11" borderId="132" xfId="0" applyFont="1" applyFill="1" applyBorder="1"/>
    <xf numFmtId="9" fontId="12" fillId="11" borderId="0" xfId="0" applyNumberFormat="1" applyFont="1" applyFill="1"/>
    <xf numFmtId="0" fontId="13" fillId="4" borderId="56" xfId="0" applyFont="1" applyFill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3" fontId="1" fillId="0" borderId="0" xfId="0" applyNumberFormat="1" applyFont="1" applyFill="1" applyBorder="1" applyAlignment="1">
      <alignment horizontal="center" vertical="center" wrapText="1"/>
    </xf>
    <xf numFmtId="0" fontId="14" fillId="0" borderId="0" xfId="0" applyFont="1" applyFill="1" applyBorder="1" applyAlignment="1">
      <alignment horizontal="center" vertical="center" wrapText="1"/>
    </xf>
    <xf numFmtId="2" fontId="0" fillId="8" borderId="88" xfId="0" applyNumberFormat="1" applyFill="1" applyBorder="1"/>
    <xf numFmtId="176" fontId="0" fillId="8" borderId="88" xfId="0" applyNumberFormat="1" applyFill="1" applyBorder="1"/>
    <xf numFmtId="179" fontId="0" fillId="8" borderId="121" xfId="0" applyNumberFormat="1" applyFill="1" applyBorder="1"/>
    <xf numFmtId="0" fontId="0" fillId="11" borderId="56" xfId="0" applyFill="1" applyBorder="1"/>
    <xf numFmtId="0" fontId="12" fillId="11" borderId="56" xfId="0" applyFont="1" applyFill="1" applyBorder="1"/>
    <xf numFmtId="1" fontId="12" fillId="11" borderId="56" xfId="0" applyNumberFormat="1" applyFont="1" applyFill="1" applyBorder="1"/>
    <xf numFmtId="176" fontId="0" fillId="5" borderId="0" xfId="0" applyNumberFormat="1" applyFill="1"/>
    <xf numFmtId="1" fontId="0" fillId="0" borderId="0" xfId="0" applyNumberFormat="1"/>
    <xf numFmtId="0" fontId="23" fillId="0" borderId="8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vertical="center" wrapText="1"/>
    </xf>
    <xf numFmtId="0" fontId="23" fillId="0" borderId="41" xfId="0" applyFont="1" applyBorder="1" applyAlignment="1">
      <alignment vertical="center" wrapText="1"/>
    </xf>
    <xf numFmtId="0" fontId="23" fillId="0" borderId="8" xfId="0" applyFont="1" applyBorder="1" applyAlignment="1">
      <alignment vertical="center" wrapText="1"/>
    </xf>
    <xf numFmtId="0" fontId="23" fillId="0" borderId="79" xfId="0" applyFont="1" applyBorder="1" applyAlignment="1">
      <alignment vertical="center" wrapText="1"/>
    </xf>
    <xf numFmtId="0" fontId="23" fillId="0" borderId="101" xfId="0" applyFont="1" applyBorder="1" applyAlignment="1">
      <alignment vertical="center" wrapText="1"/>
    </xf>
    <xf numFmtId="0" fontId="23" fillId="0" borderId="102" xfId="0" applyFont="1" applyBorder="1" applyAlignment="1">
      <alignment vertical="center" wrapText="1"/>
    </xf>
    <xf numFmtId="0" fontId="0" fillId="5" borderId="56" xfId="0" applyFill="1" applyBorder="1"/>
    <xf numFmtId="0" fontId="12" fillId="5" borderId="56" xfId="0" applyFont="1" applyFill="1" applyBorder="1"/>
    <xf numFmtId="1" fontId="12" fillId="5" borderId="56" xfId="0" applyNumberFormat="1" applyFont="1" applyFill="1" applyBorder="1"/>
    <xf numFmtId="0" fontId="0" fillId="5" borderId="138" xfId="0" applyFill="1" applyBorder="1"/>
    <xf numFmtId="1" fontId="0" fillId="11" borderId="0" xfId="0" applyNumberFormat="1" applyFill="1"/>
    <xf numFmtId="1" fontId="0" fillId="5" borderId="0" xfId="0" applyNumberFormat="1" applyFill="1"/>
    <xf numFmtId="0" fontId="44" fillId="5" borderId="97" xfId="0" applyFont="1" applyFill="1" applyBorder="1" applyAlignment="1">
      <alignment vertical="center" wrapText="1"/>
    </xf>
    <xf numFmtId="0" fontId="45" fillId="7" borderId="0" xfId="0" applyFont="1" applyFill="1" applyBorder="1" applyAlignment="1">
      <alignment horizontal="center" vertical="center"/>
    </xf>
    <xf numFmtId="0" fontId="31" fillId="0" borderId="30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13" fillId="4" borderId="60" xfId="0" applyFont="1" applyFill="1" applyBorder="1" applyAlignment="1">
      <alignment horizontal="center" vertical="center" wrapText="1"/>
    </xf>
    <xf numFmtId="0" fontId="13" fillId="4" borderId="141" xfId="0" applyFont="1" applyFill="1" applyBorder="1" applyAlignment="1">
      <alignment horizontal="center" vertical="center" wrapText="1"/>
    </xf>
    <xf numFmtId="180" fontId="0" fillId="0" borderId="0" xfId="0" applyNumberFormat="1"/>
    <xf numFmtId="0" fontId="29" fillId="0" borderId="144" xfId="0" applyFont="1" applyBorder="1" applyAlignment="1">
      <alignment horizontal="center" vertical="center" wrapText="1"/>
    </xf>
    <xf numFmtId="0" fontId="29" fillId="0" borderId="17" xfId="0" applyFont="1" applyBorder="1" applyAlignment="1">
      <alignment horizontal="center" vertical="center" wrapText="1"/>
    </xf>
    <xf numFmtId="0" fontId="29" fillId="0" borderId="18" xfId="0" applyFont="1" applyBorder="1" applyAlignment="1">
      <alignment horizontal="center" vertical="center" wrapText="1"/>
    </xf>
    <xf numFmtId="4" fontId="17" fillId="0" borderId="112" xfId="0" applyNumberFormat="1" applyFont="1" applyBorder="1" applyAlignment="1">
      <alignment horizontal="center" vertical="center" wrapText="1"/>
    </xf>
    <xf numFmtId="0" fontId="17" fillId="0" borderId="22" xfId="0" applyFont="1" applyBorder="1" applyAlignment="1">
      <alignment horizontal="center" vertical="center" wrapText="1"/>
    </xf>
    <xf numFmtId="3" fontId="17" fillId="0" borderId="23" xfId="0" applyNumberFormat="1" applyFont="1" applyBorder="1" applyAlignment="1">
      <alignment horizontal="center" vertical="center" wrapText="1"/>
    </xf>
    <xf numFmtId="4" fontId="17" fillId="0" borderId="108" xfId="0" applyNumberFormat="1" applyFont="1" applyBorder="1" applyAlignment="1">
      <alignment horizontal="center" vertical="center" wrapText="1"/>
    </xf>
    <xf numFmtId="3" fontId="17" fillId="0" borderId="27" xfId="0" applyNumberFormat="1" applyFont="1" applyBorder="1" applyAlignment="1">
      <alignment horizontal="center" vertical="center" wrapText="1"/>
    </xf>
    <xf numFmtId="3" fontId="17" fillId="0" borderId="28" xfId="0" applyNumberFormat="1" applyFont="1" applyBorder="1" applyAlignment="1">
      <alignment horizontal="center" vertical="center" wrapText="1"/>
    </xf>
    <xf numFmtId="0" fontId="17" fillId="0" borderId="27" xfId="0" applyFont="1" applyBorder="1" applyAlignment="1">
      <alignment horizontal="center" vertical="center" wrapText="1"/>
    </xf>
    <xf numFmtId="0" fontId="16" fillId="4" borderId="107" xfId="0" applyFont="1" applyFill="1" applyBorder="1" applyAlignment="1">
      <alignment horizontal="center" vertical="center" wrapText="1"/>
    </xf>
    <xf numFmtId="3" fontId="16" fillId="4" borderId="35" xfId="0" applyNumberFormat="1" applyFont="1" applyFill="1" applyBorder="1" applyAlignment="1">
      <alignment horizontal="center" vertical="center" wrapText="1"/>
    </xf>
    <xf numFmtId="3" fontId="16" fillId="4" borderId="36" xfId="0" applyNumberFormat="1" applyFont="1" applyFill="1" applyBorder="1" applyAlignment="1">
      <alignment horizontal="center" vertical="center" wrapText="1"/>
    </xf>
    <xf numFmtId="0" fontId="0" fillId="0" borderId="30" xfId="0" applyBorder="1" applyAlignment="1">
      <alignment vertical="center" wrapText="1"/>
    </xf>
    <xf numFmtId="0" fontId="29" fillId="0" borderId="145" xfId="0" applyFont="1" applyBorder="1" applyAlignment="1">
      <alignment horizontal="center" vertical="center" wrapText="1"/>
    </xf>
    <xf numFmtId="3" fontId="17" fillId="0" borderId="108" xfId="0" applyNumberFormat="1" applyFont="1" applyBorder="1" applyAlignment="1">
      <alignment horizontal="center" vertical="center" wrapText="1"/>
    </xf>
    <xf numFmtId="0" fontId="46" fillId="0" borderId="0" xfId="0" applyFont="1"/>
    <xf numFmtId="3" fontId="0" fillId="9" borderId="56" xfId="0" applyNumberFormat="1" applyFill="1" applyBorder="1"/>
    <xf numFmtId="0" fontId="38" fillId="0" borderId="0" xfId="0" applyFont="1"/>
    <xf numFmtId="0" fontId="5" fillId="0" borderId="19" xfId="0" applyFont="1" applyBorder="1" applyAlignment="1">
      <alignment horizontal="center" vertical="center" wrapText="1"/>
    </xf>
    <xf numFmtId="9" fontId="0" fillId="0" borderId="0" xfId="0" applyNumberFormat="1"/>
    <xf numFmtId="9" fontId="1" fillId="0" borderId="22" xfId="0" applyNumberFormat="1" applyFont="1" applyBorder="1" applyAlignment="1">
      <alignment horizontal="center" vertical="center" wrapText="1"/>
    </xf>
    <xf numFmtId="10" fontId="1" fillId="0" borderId="23" xfId="0" applyNumberFormat="1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9" fontId="1" fillId="0" borderId="35" xfId="0" applyNumberFormat="1" applyFont="1" applyBorder="1" applyAlignment="1">
      <alignment horizontal="center" vertical="center" wrapText="1"/>
    </xf>
    <xf numFmtId="10" fontId="1" fillId="0" borderId="36" xfId="0" applyNumberFormat="1" applyFont="1" applyBorder="1" applyAlignment="1">
      <alignment horizontal="center" vertical="center" wrapText="1"/>
    </xf>
    <xf numFmtId="0" fontId="0" fillId="0" borderId="0" xfId="0" applyAlignment="1"/>
    <xf numFmtId="0" fontId="0" fillId="0" borderId="56" xfId="0" applyFill="1" applyBorder="1"/>
    <xf numFmtId="0" fontId="25" fillId="0" borderId="0" xfId="0" applyFont="1"/>
    <xf numFmtId="9" fontId="0" fillId="0" borderId="56" xfId="1" applyFont="1" applyBorder="1" applyAlignment="1"/>
    <xf numFmtId="9" fontId="0" fillId="11" borderId="56" xfId="1" applyFont="1" applyFill="1" applyBorder="1" applyAlignment="1"/>
    <xf numFmtId="9" fontId="12" fillId="11" borderId="56" xfId="1" applyFont="1" applyFill="1" applyBorder="1" applyAlignment="1"/>
    <xf numFmtId="10" fontId="12" fillId="0" borderId="0" xfId="1" applyNumberFormat="1" applyFont="1" applyAlignment="1"/>
    <xf numFmtId="0" fontId="0" fillId="0" borderId="56" xfId="1" applyNumberFormat="1" applyFont="1" applyBorder="1" applyAlignment="1"/>
    <xf numFmtId="0" fontId="0" fillId="11" borderId="56" xfId="1" applyNumberFormat="1" applyFont="1" applyFill="1" applyBorder="1" applyAlignment="1"/>
    <xf numFmtId="0" fontId="0" fillId="0" borderId="56" xfId="1" applyNumberFormat="1" applyFont="1" applyFill="1" applyBorder="1" applyAlignment="1"/>
    <xf numFmtId="9" fontId="0" fillId="0" borderId="56" xfId="1" applyFont="1" applyFill="1" applyBorder="1" applyAlignment="1"/>
    <xf numFmtId="9" fontId="47" fillId="11" borderId="56" xfId="1" applyFont="1" applyFill="1" applyBorder="1" applyAlignment="1"/>
    <xf numFmtId="0" fontId="12" fillId="3" borderId="56" xfId="0" applyFont="1" applyFill="1" applyBorder="1"/>
    <xf numFmtId="0" fontId="12" fillId="3" borderId="89" xfId="0" applyFont="1" applyFill="1" applyBorder="1"/>
    <xf numFmtId="0" fontId="12" fillId="3" borderId="90" xfId="0" applyFont="1" applyFill="1" applyBorder="1"/>
    <xf numFmtId="0" fontId="12" fillId="3" borderId="95" xfId="0" applyFont="1" applyFill="1" applyBorder="1"/>
    <xf numFmtId="0" fontId="12" fillId="3" borderId="131" xfId="0" applyFont="1" applyFill="1" applyBorder="1"/>
    <xf numFmtId="3" fontId="1" fillId="3" borderId="35" xfId="0" applyNumberFormat="1" applyFont="1" applyFill="1" applyBorder="1" applyAlignment="1">
      <alignment horizontal="center" vertical="center" wrapText="1"/>
    </xf>
    <xf numFmtId="3" fontId="1" fillId="3" borderId="36" xfId="0" applyNumberFormat="1" applyFont="1" applyFill="1" applyBorder="1" applyAlignment="1">
      <alignment horizontal="center" vertical="center" wrapText="1"/>
    </xf>
    <xf numFmtId="9" fontId="0" fillId="9" borderId="56" xfId="1" applyFont="1" applyFill="1" applyBorder="1" applyAlignment="1"/>
    <xf numFmtId="178" fontId="0" fillId="0" borderId="0" xfId="0" applyNumberFormat="1"/>
    <xf numFmtId="0" fontId="0" fillId="11" borderId="86" xfId="0" applyFill="1" applyBorder="1"/>
    <xf numFmtId="178" fontId="0" fillId="11" borderId="86" xfId="1" applyNumberFormat="1" applyFont="1" applyFill="1" applyBorder="1" applyAlignment="1"/>
    <xf numFmtId="0" fontId="12" fillId="11" borderId="122" xfId="0" applyFont="1" applyFill="1" applyBorder="1"/>
    <xf numFmtId="0" fontId="12" fillId="11" borderId="147" xfId="0" applyFont="1" applyFill="1" applyBorder="1"/>
    <xf numFmtId="0" fontId="12" fillId="11" borderId="125" xfId="0" applyFont="1" applyFill="1" applyBorder="1"/>
    <xf numFmtId="0" fontId="12" fillId="11" borderId="126" xfId="0" applyFont="1" applyFill="1" applyBorder="1"/>
    <xf numFmtId="0" fontId="0" fillId="3" borderId="86" xfId="0" applyFill="1" applyBorder="1"/>
    <xf numFmtId="0" fontId="12" fillId="3" borderId="122" xfId="0" applyFont="1" applyFill="1" applyBorder="1"/>
    <xf numFmtId="0" fontId="12" fillId="3" borderId="147" xfId="0" applyFont="1" applyFill="1" applyBorder="1"/>
    <xf numFmtId="178" fontId="0" fillId="3" borderId="86" xfId="1" applyNumberFormat="1" applyFont="1" applyFill="1" applyBorder="1" applyAlignment="1"/>
    <xf numFmtId="0" fontId="12" fillId="3" borderId="125" xfId="0" applyFont="1" applyFill="1" applyBorder="1"/>
    <xf numFmtId="0" fontId="12" fillId="3" borderId="126" xfId="0" applyFont="1" applyFill="1" applyBorder="1"/>
    <xf numFmtId="0" fontId="0" fillId="12" borderId="0" xfId="0" applyFill="1"/>
    <xf numFmtId="0" fontId="38" fillId="12" borderId="0" xfId="0" applyFont="1" applyFill="1"/>
    <xf numFmtId="0" fontId="41" fillId="12" borderId="0" xfId="0" applyFont="1" applyFill="1"/>
    <xf numFmtId="0" fontId="12" fillId="13" borderId="98" xfId="0" applyFont="1" applyFill="1" applyBorder="1"/>
    <xf numFmtId="0" fontId="12" fillId="13" borderId="148" xfId="0" applyFont="1" applyFill="1" applyBorder="1"/>
    <xf numFmtId="0" fontId="0" fillId="13" borderId="56" xfId="0" applyFill="1" applyBorder="1"/>
    <xf numFmtId="176" fontId="12" fillId="13" borderId="0" xfId="0" applyNumberFormat="1" applyFont="1" applyFill="1" applyBorder="1"/>
    <xf numFmtId="176" fontId="12" fillId="13" borderId="98" xfId="0" applyNumberFormat="1" applyFont="1" applyFill="1" applyBorder="1"/>
    <xf numFmtId="0" fontId="0" fillId="13" borderId="0" xfId="0" applyFill="1"/>
    <xf numFmtId="1" fontId="12" fillId="13" borderId="56" xfId="0" applyNumberFormat="1" applyFont="1" applyFill="1" applyBorder="1"/>
    <xf numFmtId="1" fontId="12" fillId="13" borderId="0" xfId="0" applyNumberFormat="1" applyFont="1" applyFill="1"/>
    <xf numFmtId="0" fontId="1" fillId="13" borderId="56" xfId="0" applyFont="1" applyFill="1" applyBorder="1" applyAlignment="1">
      <alignment horizontal="center" vertical="center" wrapText="1"/>
    </xf>
    <xf numFmtId="3" fontId="1" fillId="13" borderId="56" xfId="0" applyNumberFormat="1" applyFont="1" applyFill="1" applyBorder="1" applyAlignment="1">
      <alignment horizontal="center" vertical="center" wrapText="1"/>
    </xf>
    <xf numFmtId="0" fontId="14" fillId="13" borderId="56" xfId="0" applyFont="1" applyFill="1" applyBorder="1" applyAlignment="1">
      <alignment horizontal="center" vertical="center" wrapText="1"/>
    </xf>
    <xf numFmtId="3" fontId="14" fillId="13" borderId="56" xfId="0" applyNumberFormat="1" applyFont="1" applyFill="1" applyBorder="1" applyAlignment="1">
      <alignment horizontal="center" vertical="center" wrapText="1"/>
    </xf>
    <xf numFmtId="181" fontId="0" fillId="0" borderId="0" xfId="0" applyNumberFormat="1" applyAlignment="1">
      <alignment vertical="center"/>
    </xf>
    <xf numFmtId="182" fontId="0" fillId="0" borderId="0" xfId="0" applyNumberFormat="1" applyAlignment="1">
      <alignment vertical="center"/>
    </xf>
    <xf numFmtId="0" fontId="0" fillId="14" borderId="0" xfId="0" applyFill="1"/>
    <xf numFmtId="0" fontId="12" fillId="14" borderId="131" xfId="0" applyFont="1" applyFill="1" applyBorder="1"/>
    <xf numFmtId="176" fontId="12" fillId="14" borderId="0" xfId="0" applyNumberFormat="1" applyFont="1" applyFill="1" applyBorder="1"/>
    <xf numFmtId="176" fontId="12" fillId="14" borderId="98" xfId="0" applyNumberFormat="1" applyFont="1" applyFill="1" applyBorder="1"/>
    <xf numFmtId="0" fontId="12" fillId="14" borderId="132" xfId="0" applyFont="1" applyFill="1" applyBorder="1"/>
    <xf numFmtId="0" fontId="12" fillId="14" borderId="89" xfId="0" applyFont="1" applyFill="1" applyBorder="1"/>
    <xf numFmtId="0" fontId="12" fillId="14" borderId="90" xfId="0" applyFont="1" applyFill="1" applyBorder="1"/>
    <xf numFmtId="0" fontId="12" fillId="14" borderId="95" xfId="0" applyFont="1" applyFill="1" applyBorder="1"/>
    <xf numFmtId="0" fontId="0" fillId="14" borderId="56" xfId="0" applyFill="1" applyBorder="1"/>
    <xf numFmtId="0" fontId="12" fillId="14" borderId="56" xfId="0" applyFont="1" applyFill="1" applyBorder="1"/>
    <xf numFmtId="1" fontId="12" fillId="14" borderId="56" xfId="0" applyNumberFormat="1" applyFont="1" applyFill="1" applyBorder="1"/>
    <xf numFmtId="1" fontId="0" fillId="14" borderId="0" xfId="0" applyNumberFormat="1" applyFill="1"/>
    <xf numFmtId="0" fontId="12" fillId="14" borderId="138" xfId="0" applyFont="1" applyFill="1" applyBorder="1"/>
    <xf numFmtId="0" fontId="38" fillId="7" borderId="0" xfId="2" applyFont="1" applyFill="1">
      <alignment vertical="center"/>
    </xf>
    <xf numFmtId="0" fontId="48" fillId="7" borderId="0" xfId="2" applyFill="1">
      <alignment vertical="center"/>
    </xf>
    <xf numFmtId="0" fontId="48" fillId="0" borderId="0" xfId="2">
      <alignment vertical="center"/>
    </xf>
    <xf numFmtId="0" fontId="12" fillId="3" borderId="0" xfId="2" applyFont="1" applyFill="1">
      <alignment vertical="center"/>
    </xf>
    <xf numFmtId="0" fontId="48" fillId="0" borderId="0" xfId="2" applyAlignment="1">
      <alignment vertical="center" wrapText="1"/>
    </xf>
    <xf numFmtId="0" fontId="48" fillId="0" borderId="0" xfId="2" quotePrefix="1">
      <alignment vertical="center"/>
    </xf>
    <xf numFmtId="1" fontId="0" fillId="15" borderId="0" xfId="0" applyNumberFormat="1" applyFill="1"/>
    <xf numFmtId="0" fontId="0" fillId="15" borderId="0" xfId="0" applyFill="1"/>
    <xf numFmtId="0" fontId="12" fillId="0" borderId="0" xfId="0" applyFont="1" applyAlignment="1">
      <alignment vertical="center"/>
    </xf>
    <xf numFmtId="182" fontId="0" fillId="0" borderId="0" xfId="0" quotePrefix="1" applyNumberFormat="1" applyAlignment="1">
      <alignment vertical="center"/>
    </xf>
    <xf numFmtId="177" fontId="12" fillId="8" borderId="56" xfId="0" applyNumberFormat="1" applyFont="1" applyFill="1" applyBorder="1" applyAlignment="1">
      <alignment vertical="center"/>
    </xf>
    <xf numFmtId="0" fontId="12" fillId="8" borderId="56" xfId="0" applyFont="1" applyFill="1" applyBorder="1" applyAlignment="1">
      <alignment vertical="center"/>
    </xf>
    <xf numFmtId="0" fontId="0" fillId="0" borderId="0" xfId="0" applyAlignment="1">
      <alignment horizontal="center"/>
    </xf>
    <xf numFmtId="0" fontId="12" fillId="10" borderId="133" xfId="0" applyFont="1" applyFill="1" applyBorder="1" applyAlignment="1">
      <alignment horizontal="center" vertical="center"/>
    </xf>
    <xf numFmtId="0" fontId="12" fillId="10" borderId="134" xfId="0" applyFont="1" applyFill="1" applyBorder="1" applyAlignment="1">
      <alignment horizontal="center" vertical="center"/>
    </xf>
    <xf numFmtId="0" fontId="12" fillId="10" borderId="135" xfId="0" applyFont="1" applyFill="1" applyBorder="1" applyAlignment="1">
      <alignment horizontal="center" vertical="center"/>
    </xf>
    <xf numFmtId="0" fontId="12" fillId="8" borderId="133" xfId="0" applyFont="1" applyFill="1" applyBorder="1" applyAlignment="1">
      <alignment horizontal="center" vertical="center"/>
    </xf>
    <xf numFmtId="0" fontId="12" fillId="8" borderId="134" xfId="0" applyFont="1" applyFill="1" applyBorder="1" applyAlignment="1">
      <alignment horizontal="center" vertical="center"/>
    </xf>
    <xf numFmtId="0" fontId="12" fillId="8" borderId="136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12" fillId="10" borderId="137" xfId="0" applyFont="1" applyFill="1" applyBorder="1" applyAlignment="1">
      <alignment horizontal="center" vertical="center"/>
    </xf>
    <xf numFmtId="0" fontId="12" fillId="10" borderId="136" xfId="0" applyFont="1" applyFill="1" applyBorder="1" applyAlignment="1">
      <alignment horizontal="center" vertical="center"/>
    </xf>
    <xf numFmtId="0" fontId="17" fillId="0" borderId="118" xfId="0" applyFont="1" applyBorder="1" applyAlignment="1">
      <alignment horizontal="center" vertical="center" wrapText="1"/>
    </xf>
    <xf numFmtId="0" fontId="17" fillId="0" borderId="119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31" fillId="0" borderId="79" xfId="0" applyFont="1" applyBorder="1" applyAlignment="1">
      <alignment horizontal="center" vertical="center" wrapText="1"/>
    </xf>
    <xf numFmtId="0" fontId="29" fillId="0" borderId="58" xfId="0" applyFont="1" applyBorder="1" applyAlignment="1">
      <alignment horizontal="center" vertical="center" wrapText="1"/>
    </xf>
    <xf numFmtId="0" fontId="29" fillId="0" borderId="83" xfId="0" applyFont="1" applyBorder="1" applyAlignment="1">
      <alignment horizontal="center" vertical="center" wrapText="1"/>
    </xf>
    <xf numFmtId="0" fontId="29" fillId="0" borderId="109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31" fillId="0" borderId="30" xfId="0" applyFont="1" applyBorder="1" applyAlignment="1">
      <alignment horizontal="center" vertical="center" wrapText="1"/>
    </xf>
    <xf numFmtId="0" fontId="31" fillId="0" borderId="31" xfId="0" applyFont="1" applyBorder="1" applyAlignment="1">
      <alignment horizontal="center" vertical="center" wrapText="1"/>
    </xf>
    <xf numFmtId="0" fontId="31" fillId="0" borderId="114" xfId="0" applyFont="1" applyBorder="1" applyAlignment="1">
      <alignment horizontal="center" vertical="center" wrapText="1"/>
    </xf>
    <xf numFmtId="0" fontId="31" fillId="0" borderId="115" xfId="0" applyFont="1" applyBorder="1" applyAlignment="1">
      <alignment horizontal="center" vertical="center" wrapText="1"/>
    </xf>
    <xf numFmtId="0" fontId="17" fillId="0" borderId="116" xfId="0" applyFont="1" applyBorder="1" applyAlignment="1">
      <alignment horizontal="center" vertical="center" wrapText="1"/>
    </xf>
    <xf numFmtId="0" fontId="17" fillId="0" borderId="117" xfId="0" applyFont="1" applyBorder="1" applyAlignment="1">
      <alignment horizontal="center" vertical="center" wrapText="1"/>
    </xf>
    <xf numFmtId="0" fontId="31" fillId="0" borderId="29" xfId="0" applyFont="1" applyBorder="1" applyAlignment="1">
      <alignment horizontal="center" vertical="center" wrapText="1"/>
    </xf>
    <xf numFmtId="0" fontId="31" fillId="0" borderId="64" xfId="0" applyFont="1" applyBorder="1" applyAlignment="1">
      <alignment horizontal="center" vertical="center" wrapText="1"/>
    </xf>
    <xf numFmtId="0" fontId="29" fillId="0" borderId="1" xfId="0" applyFont="1" applyBorder="1" applyAlignment="1">
      <alignment horizontal="center" vertical="center" wrapText="1"/>
    </xf>
    <xf numFmtId="0" fontId="29" fillId="0" borderId="142" xfId="0" applyFont="1" applyBorder="1" applyAlignment="1">
      <alignment horizontal="center" vertical="center" wrapText="1"/>
    </xf>
    <xf numFmtId="0" fontId="29" fillId="0" borderId="5" xfId="0" applyFont="1" applyBorder="1" applyAlignment="1">
      <alignment horizontal="center" vertical="center" wrapText="1"/>
    </xf>
    <xf numFmtId="0" fontId="29" fillId="0" borderId="143" xfId="0" applyFont="1" applyBorder="1" applyAlignment="1">
      <alignment horizontal="center" vertical="center" wrapText="1"/>
    </xf>
    <xf numFmtId="0" fontId="16" fillId="0" borderId="37" xfId="0" applyFont="1" applyBorder="1" applyAlignment="1">
      <alignment horizontal="center" vertical="center" wrapText="1"/>
    </xf>
    <xf numFmtId="0" fontId="16" fillId="0" borderId="38" xfId="0" applyFont="1" applyBorder="1" applyAlignment="1">
      <alignment horizontal="center" vertical="center" wrapText="1"/>
    </xf>
    <xf numFmtId="0" fontId="16" fillId="0" borderId="39" xfId="0" applyFont="1" applyBorder="1" applyAlignment="1">
      <alignment horizontal="center" vertical="center" wrapText="1"/>
    </xf>
    <xf numFmtId="0" fontId="16" fillId="4" borderId="33" xfId="0" applyFont="1" applyFill="1" applyBorder="1" applyAlignment="1">
      <alignment horizontal="center" vertical="center" wrapText="1"/>
    </xf>
    <xf numFmtId="0" fontId="16" fillId="4" borderId="146" xfId="0" applyFont="1" applyFill="1" applyBorder="1" applyAlignment="1">
      <alignment horizontal="center" vertical="center" wrapText="1"/>
    </xf>
    <xf numFmtId="0" fontId="29" fillId="0" borderId="144" xfId="0" applyFont="1" applyBorder="1" applyAlignment="1">
      <alignment horizontal="center" vertical="center" wrapText="1"/>
    </xf>
    <xf numFmtId="0" fontId="29" fillId="0" borderId="145" xfId="0" applyFont="1" applyBorder="1" applyAlignment="1">
      <alignment horizontal="center" vertical="center" wrapText="1"/>
    </xf>
    <xf numFmtId="0" fontId="29" fillId="4" borderId="33" xfId="0" applyFont="1" applyFill="1" applyBorder="1" applyAlignment="1">
      <alignment horizontal="center" vertical="center" wrapText="1"/>
    </xf>
    <xf numFmtId="0" fontId="29" fillId="4" borderId="146" xfId="0" applyFont="1" applyFill="1" applyBorder="1" applyAlignment="1">
      <alignment horizontal="center" vertical="center" wrapText="1"/>
    </xf>
    <xf numFmtId="0" fontId="22" fillId="6" borderId="58" xfId="0" applyFont="1" applyFill="1" applyBorder="1" applyAlignment="1">
      <alignment horizontal="center" vertical="center" wrapText="1"/>
    </xf>
    <xf numFmtId="0" fontId="22" fillId="6" borderId="59" xfId="0" applyFont="1" applyFill="1" applyBorder="1" applyAlignment="1">
      <alignment horizontal="center" vertical="center" wrapText="1"/>
    </xf>
    <xf numFmtId="0" fontId="1" fillId="0" borderId="62" xfId="0" applyFont="1" applyBorder="1" applyAlignment="1">
      <alignment horizontal="center" vertical="center" wrapText="1"/>
    </xf>
    <xf numFmtId="0" fontId="1" fillId="0" borderId="64" xfId="0" applyFont="1" applyBorder="1" applyAlignment="1">
      <alignment horizontal="center" vertical="center" wrapText="1"/>
    </xf>
    <xf numFmtId="0" fontId="22" fillId="6" borderId="1" xfId="0" applyFont="1" applyFill="1" applyBorder="1" applyAlignment="1">
      <alignment horizontal="center" vertical="center" wrapText="1"/>
    </xf>
    <xf numFmtId="0" fontId="22" fillId="6" borderId="13" xfId="0" applyFont="1" applyFill="1" applyBorder="1" applyAlignment="1">
      <alignment horizontal="center" vertical="center" wrapText="1"/>
    </xf>
    <xf numFmtId="0" fontId="22" fillId="6" borderId="2" xfId="0" applyFont="1" applyFill="1" applyBorder="1" applyAlignment="1">
      <alignment horizontal="center" vertical="center" wrapText="1"/>
    </xf>
    <xf numFmtId="0" fontId="22" fillId="6" borderId="5" xfId="0" applyFont="1" applyFill="1" applyBorder="1" applyAlignment="1">
      <alignment horizontal="center" vertical="center" wrapText="1"/>
    </xf>
    <xf numFmtId="0" fontId="22" fillId="6" borderId="51" xfId="0" applyFont="1" applyFill="1" applyBorder="1" applyAlignment="1">
      <alignment horizontal="center" vertical="center" wrapText="1"/>
    </xf>
    <xf numFmtId="0" fontId="22" fillId="6" borderId="6" xfId="0" applyFont="1" applyFill="1" applyBorder="1" applyAlignment="1">
      <alignment horizontal="center" vertical="center" wrapText="1"/>
    </xf>
    <xf numFmtId="0" fontId="22" fillId="6" borderId="37" xfId="0" applyFont="1" applyFill="1" applyBorder="1" applyAlignment="1">
      <alignment horizontal="center" vertical="center" wrapText="1"/>
    </xf>
    <xf numFmtId="0" fontId="22" fillId="6" borderId="38" xfId="0" applyFont="1" applyFill="1" applyBorder="1" applyAlignment="1">
      <alignment horizontal="center" vertical="center" wrapText="1"/>
    </xf>
    <xf numFmtId="0" fontId="22" fillId="6" borderId="45" xfId="0" applyFont="1" applyFill="1" applyBorder="1" applyAlignment="1">
      <alignment horizontal="center" vertical="center" wrapText="1"/>
    </xf>
    <xf numFmtId="0" fontId="22" fillId="6" borderId="76" xfId="0" applyFont="1" applyFill="1" applyBorder="1" applyAlignment="1">
      <alignment horizontal="center" vertical="center" wrapText="1"/>
    </xf>
    <xf numFmtId="0" fontId="22" fillId="6" borderId="77" xfId="0" applyFont="1" applyFill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23" fillId="0" borderId="50" xfId="0" applyFont="1" applyBorder="1" applyAlignment="1">
      <alignment horizontal="center" vertical="center" wrapText="1"/>
    </xf>
    <xf numFmtId="0" fontId="23" fillId="0" borderId="78" xfId="0" applyFont="1" applyBorder="1" applyAlignment="1">
      <alignment horizontal="center" vertical="center" wrapText="1"/>
    </xf>
    <xf numFmtId="0" fontId="23" fillId="0" borderId="21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23" fillId="0" borderId="86" xfId="0" applyFont="1" applyBorder="1" applyAlignment="1">
      <alignment horizontal="center" vertical="center" wrapText="1"/>
    </xf>
    <xf numFmtId="0" fontId="23" fillId="0" borderId="87" xfId="0" applyFont="1" applyBorder="1" applyAlignment="1">
      <alignment horizontal="center" vertical="center" wrapText="1"/>
    </xf>
    <xf numFmtId="0" fontId="23" fillId="0" borderId="88" xfId="0" applyFont="1" applyBorder="1" applyAlignment="1">
      <alignment horizontal="center" vertical="center" wrapText="1"/>
    </xf>
    <xf numFmtId="0" fontId="23" fillId="0" borderId="40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center" vertical="center" wrapText="1"/>
    </xf>
    <xf numFmtId="0" fontId="23" fillId="0" borderId="26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2" fillId="6" borderId="83" xfId="0" applyFont="1" applyFill="1" applyBorder="1" applyAlignment="1">
      <alignment horizontal="center" vertical="center" wrapText="1"/>
    </xf>
    <xf numFmtId="0" fontId="23" fillId="0" borderId="48" xfId="0" applyFont="1" applyBorder="1" applyAlignment="1">
      <alignment horizontal="center" vertical="center" wrapText="1"/>
    </xf>
    <xf numFmtId="0" fontId="23" fillId="0" borderId="81" xfId="0" applyFont="1" applyBorder="1" applyAlignment="1">
      <alignment horizontal="center" vertical="center" wrapText="1"/>
    </xf>
    <xf numFmtId="0" fontId="23" fillId="0" borderId="34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0" fontId="1" fillId="0" borderId="43" xfId="0" applyFont="1" applyBorder="1" applyAlignment="1">
      <alignment horizontal="center" vertical="center" wrapText="1"/>
    </xf>
    <xf numFmtId="0" fontId="23" fillId="0" borderId="37" xfId="0" applyFont="1" applyBorder="1" applyAlignment="1">
      <alignment horizontal="center" vertical="center" wrapText="1"/>
    </xf>
    <xf numFmtId="0" fontId="23" fillId="0" borderId="38" xfId="0" applyFont="1" applyBorder="1" applyAlignment="1">
      <alignment horizontal="center" vertical="center" wrapText="1"/>
    </xf>
    <xf numFmtId="0" fontId="23" fillId="0" borderId="45" xfId="0" applyFont="1" applyBorder="1" applyAlignment="1">
      <alignment horizontal="center" vertical="center" wrapText="1"/>
    </xf>
    <xf numFmtId="0" fontId="23" fillId="0" borderId="54" xfId="0" applyFont="1" applyBorder="1" applyAlignment="1">
      <alignment horizontal="center" vertical="center" wrapText="1"/>
    </xf>
    <xf numFmtId="0" fontId="23" fillId="0" borderId="46" xfId="0" applyFont="1" applyBorder="1" applyAlignment="1">
      <alignment horizontal="center" vertical="center" wrapText="1"/>
    </xf>
    <xf numFmtId="0" fontId="23" fillId="0" borderId="11" xfId="0" applyFont="1" applyBorder="1" applyAlignment="1">
      <alignment horizontal="center" vertical="center" wrapText="1"/>
    </xf>
    <xf numFmtId="0" fontId="23" fillId="0" borderId="12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22" fillId="6" borderId="89" xfId="0" applyFont="1" applyFill="1" applyBorder="1" applyAlignment="1">
      <alignment horizontal="center" vertical="center" wrapText="1"/>
    </xf>
    <xf numFmtId="0" fontId="22" fillId="6" borderId="90" xfId="0" applyFont="1" applyFill="1" applyBorder="1" applyAlignment="1">
      <alignment horizontal="center" vertical="center" wrapText="1"/>
    </xf>
    <xf numFmtId="0" fontId="22" fillId="6" borderId="91" xfId="0" applyFont="1" applyFill="1" applyBorder="1" applyAlignment="1">
      <alignment horizontal="center" vertical="center" wrapText="1"/>
    </xf>
    <xf numFmtId="0" fontId="22" fillId="6" borderId="96" xfId="0" applyFont="1" applyFill="1" applyBorder="1" applyAlignment="1">
      <alignment horizontal="center" vertical="center" wrapText="1"/>
    </xf>
    <xf numFmtId="0" fontId="23" fillId="0" borderId="85" xfId="0" applyFont="1" applyBorder="1" applyAlignment="1">
      <alignment horizontal="center" vertical="center" wrapText="1"/>
    </xf>
    <xf numFmtId="0" fontId="23" fillId="0" borderId="53" xfId="0" applyFont="1" applyBorder="1" applyAlignment="1">
      <alignment horizontal="center" vertical="center" wrapText="1"/>
    </xf>
    <xf numFmtId="0" fontId="23" fillId="0" borderId="101" xfId="0" applyFont="1" applyBorder="1" applyAlignment="1">
      <alignment horizontal="center" vertical="center" wrapText="1"/>
    </xf>
    <xf numFmtId="0" fontId="23" fillId="0" borderId="102" xfId="0" applyFont="1" applyBorder="1" applyAlignment="1">
      <alignment horizontal="center" vertical="center" wrapText="1"/>
    </xf>
    <xf numFmtId="0" fontId="12" fillId="5" borderId="139" xfId="0" applyFont="1" applyFill="1" applyBorder="1" applyAlignment="1">
      <alignment horizontal="center"/>
    </xf>
    <xf numFmtId="0" fontId="12" fillId="5" borderId="140" xfId="0" applyFont="1" applyFill="1" applyBorder="1" applyAlignment="1">
      <alignment horizontal="center"/>
    </xf>
    <xf numFmtId="0" fontId="13" fillId="4" borderId="56" xfId="0" applyFont="1" applyFill="1" applyBorder="1" applyAlignment="1">
      <alignment horizontal="center" vertical="center" wrapText="1"/>
    </xf>
    <xf numFmtId="0" fontId="13" fillId="2" borderId="37" xfId="0" applyFont="1" applyFill="1" applyBorder="1" applyAlignment="1">
      <alignment horizontal="center" vertical="center" wrapText="1"/>
    </xf>
    <xf numFmtId="0" fontId="13" fillId="2" borderId="45" xfId="0" applyFont="1" applyFill="1" applyBorder="1" applyAlignment="1">
      <alignment horizontal="center" vertical="center" wrapText="1"/>
    </xf>
    <xf numFmtId="0" fontId="13" fillId="2" borderId="38" xfId="0" applyFont="1" applyFill="1" applyBorder="1" applyAlignment="1">
      <alignment horizontal="center" vertical="center" wrapText="1"/>
    </xf>
    <xf numFmtId="0" fontId="13" fillId="4" borderId="83" xfId="0" applyFont="1" applyFill="1" applyBorder="1" applyAlignment="1">
      <alignment horizontal="center" vertical="center" wrapText="1"/>
    </xf>
    <xf numFmtId="0" fontId="13" fillId="4" borderId="59" xfId="0" applyFont="1" applyFill="1" applyBorder="1" applyAlignment="1">
      <alignment horizontal="center" vertical="center" wrapText="1"/>
    </xf>
    <xf numFmtId="0" fontId="13" fillId="4" borderId="86" xfId="0" applyFont="1" applyFill="1" applyBorder="1" applyAlignment="1">
      <alignment horizontal="center" vertical="center" wrapText="1"/>
    </xf>
    <xf numFmtId="0" fontId="13" fillId="4" borderId="88" xfId="0" applyFont="1" applyFill="1" applyBorder="1" applyAlignment="1">
      <alignment horizontal="center" vertical="center" wrapText="1"/>
    </xf>
    <xf numFmtId="0" fontId="13" fillId="2" borderId="40" xfId="0" applyFont="1" applyFill="1" applyBorder="1" applyAlignment="1">
      <alignment horizontal="center" vertical="center" wrapText="1"/>
    </xf>
    <xf numFmtId="0" fontId="13" fillId="2" borderId="41" xfId="0" applyFont="1" applyFill="1" applyBorder="1" applyAlignment="1">
      <alignment horizontal="center" vertical="center" wrapText="1"/>
    </xf>
    <xf numFmtId="0" fontId="13" fillId="2" borderId="26" xfId="0" applyFont="1" applyFill="1" applyBorder="1" applyAlignment="1">
      <alignment horizontal="center" vertical="center" wrapText="1"/>
    </xf>
    <xf numFmtId="0" fontId="13" fillId="2" borderId="54" xfId="0" applyFont="1" applyFill="1" applyBorder="1" applyAlignment="1">
      <alignment horizontal="center" vertical="center" wrapText="1"/>
    </xf>
    <xf numFmtId="0" fontId="13" fillId="2" borderId="55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 wrapText="1"/>
    </xf>
    <xf numFmtId="0" fontId="13" fillId="2" borderId="15" xfId="0" applyFont="1" applyFill="1" applyBorder="1" applyAlignment="1">
      <alignment horizontal="center" vertical="center" wrapText="1"/>
    </xf>
    <xf numFmtId="0" fontId="1" fillId="0" borderId="52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53" xfId="0" applyFont="1" applyBorder="1" applyAlignment="1">
      <alignment horizontal="center" vertical="center" wrapText="1"/>
    </xf>
    <xf numFmtId="0" fontId="14" fillId="0" borderId="84" xfId="0" applyFont="1" applyBorder="1" applyAlignment="1">
      <alignment horizontal="center" vertical="center" wrapText="1"/>
    </xf>
    <xf numFmtId="0" fontId="14" fillId="0" borderId="8" xfId="0" applyFont="1" applyBorder="1" applyAlignment="1">
      <alignment horizontal="center" vertical="center" wrapText="1"/>
    </xf>
    <xf numFmtId="0" fontId="14" fillId="0" borderId="79" xfId="0" applyFont="1" applyBorder="1" applyAlignment="1">
      <alignment horizontal="center" vertical="center" wrapText="1"/>
    </xf>
    <xf numFmtId="0" fontId="14" fillId="0" borderId="47" xfId="0" applyFont="1" applyBorder="1" applyAlignment="1">
      <alignment horizontal="center" vertical="center" wrapText="1"/>
    </xf>
    <xf numFmtId="0" fontId="14" fillId="0" borderId="80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3" fillId="4" borderId="40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13" fillId="4" borderId="13" xfId="0" applyFont="1" applyFill="1" applyBorder="1" applyAlignment="1">
      <alignment horizontal="center" vertical="center" wrapText="1"/>
    </xf>
    <xf numFmtId="0" fontId="13" fillId="4" borderId="2" xfId="0" applyFont="1" applyFill="1" applyBorder="1" applyAlignment="1">
      <alignment horizontal="center" vertical="center" wrapText="1"/>
    </xf>
    <xf numFmtId="0" fontId="13" fillId="4" borderId="51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37" xfId="0" applyFont="1" applyFill="1" applyBorder="1" applyAlignment="1">
      <alignment horizontal="center" vertical="center" wrapText="1"/>
    </xf>
    <xf numFmtId="0" fontId="13" fillId="4" borderId="38" xfId="0" applyFont="1" applyFill="1" applyBorder="1" applyAlignment="1">
      <alignment horizontal="center" vertical="center" wrapText="1"/>
    </xf>
    <xf numFmtId="0" fontId="14" fillId="0" borderId="52" xfId="0" applyFont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 wrapText="1"/>
    </xf>
    <xf numFmtId="0" fontId="14" fillId="0" borderId="46" xfId="0" applyFont="1" applyBorder="1" applyAlignment="1">
      <alignment horizontal="center" vertical="center" wrapText="1"/>
    </xf>
    <xf numFmtId="0" fontId="12" fillId="8" borderId="122" xfId="0" applyFont="1" applyFill="1" applyBorder="1" applyAlignment="1">
      <alignment horizontal="center" vertical="center"/>
    </xf>
    <xf numFmtId="0" fontId="12" fillId="8" borderId="123" xfId="0" applyFont="1" applyFill="1" applyBorder="1" applyAlignment="1">
      <alignment horizontal="center" vertical="center"/>
    </xf>
    <xf numFmtId="0" fontId="12" fillId="8" borderId="124" xfId="0" applyFont="1" applyFill="1" applyBorder="1" applyAlignment="1">
      <alignment horizontal="center" vertical="center"/>
    </xf>
    <xf numFmtId="0" fontId="12" fillId="10" borderId="123" xfId="0" applyFont="1" applyFill="1" applyBorder="1" applyAlignment="1">
      <alignment horizontal="center" vertical="center"/>
    </xf>
    <xf numFmtId="0" fontId="12" fillId="10" borderId="122" xfId="0" applyFont="1" applyFill="1" applyBorder="1" applyAlignment="1">
      <alignment horizontal="center" vertical="center"/>
    </xf>
    <xf numFmtId="0" fontId="14" fillId="0" borderId="53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3" fillId="2" borderId="37" xfId="0" applyFont="1" applyFill="1" applyBorder="1" applyAlignment="1">
      <alignment horizontal="center" vertical="center" wrapText="1"/>
    </xf>
    <xf numFmtId="0" fontId="3" fillId="2" borderId="38" xfId="0" applyFont="1" applyFill="1" applyBorder="1" applyAlignment="1">
      <alignment horizontal="center" vertical="center" wrapText="1"/>
    </xf>
    <xf numFmtId="0" fontId="3" fillId="2" borderId="39" xfId="0" applyFont="1" applyFill="1" applyBorder="1" applyAlignment="1">
      <alignment horizontal="center" vertical="center" wrapText="1"/>
    </xf>
    <xf numFmtId="0" fontId="4" fillId="2" borderId="40" xfId="0" applyFont="1" applyFill="1" applyBorder="1" applyAlignment="1">
      <alignment horizontal="center" vertical="center" wrapText="1"/>
    </xf>
    <xf numFmtId="0" fontId="4" fillId="2" borderId="41" xfId="0" applyFont="1" applyFill="1" applyBorder="1" applyAlignment="1">
      <alignment horizontal="center" vertical="center" wrapText="1"/>
    </xf>
    <xf numFmtId="0" fontId="4" fillId="2" borderId="26" xfId="0" applyFont="1" applyFill="1" applyBorder="1" applyAlignment="1">
      <alignment horizontal="center" vertical="center" wrapText="1"/>
    </xf>
    <xf numFmtId="0" fontId="4" fillId="2" borderId="42" xfId="0" applyFont="1" applyFill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3" fillId="2" borderId="10" xfId="0" applyFont="1" applyFill="1" applyBorder="1" applyAlignment="1">
      <alignment horizontal="center" vertical="center" wrapText="1"/>
    </xf>
    <xf numFmtId="0" fontId="3" fillId="2" borderId="13" xfId="0" applyFont="1" applyFill="1" applyBorder="1" applyAlignment="1">
      <alignment horizontal="center" vertical="center" wrapText="1"/>
    </xf>
    <xf numFmtId="0" fontId="3" fillId="2" borderId="14" xfId="0" applyFont="1" applyFill="1" applyBorder="1" applyAlignment="1">
      <alignment horizontal="center" vertical="center" wrapText="1"/>
    </xf>
    <xf numFmtId="0" fontId="3" fillId="4" borderId="58" xfId="0" applyFont="1" applyFill="1" applyBorder="1" applyAlignment="1">
      <alignment horizontal="center" vertical="center" wrapText="1"/>
    </xf>
    <xf numFmtId="0" fontId="3" fillId="4" borderId="59" xfId="0" applyFont="1" applyFill="1" applyBorder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center" wrapText="1"/>
    </xf>
    <xf numFmtId="0" fontId="4" fillId="2" borderId="12" xfId="0" applyFont="1" applyFill="1" applyBorder="1" applyAlignment="1">
      <alignment horizontal="center" vertical="center" wrapText="1"/>
    </xf>
    <xf numFmtId="0" fontId="4" fillId="2" borderId="15" xfId="0" applyFont="1" applyFill="1" applyBorder="1" applyAlignment="1">
      <alignment horizontal="center" vertical="center" wrapText="1"/>
    </xf>
    <xf numFmtId="0" fontId="4" fillId="2" borderId="16" xfId="0" applyFont="1" applyFill="1" applyBorder="1" applyAlignment="1">
      <alignment horizontal="center" vertical="center" wrapText="1"/>
    </xf>
    <xf numFmtId="0" fontId="5" fillId="0" borderId="62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31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64" xfId="0" applyFont="1" applyBorder="1" applyAlignment="1">
      <alignment horizontal="center" vertical="center" wrapText="1"/>
    </xf>
    <xf numFmtId="0" fontId="5" fillId="0" borderId="33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3" fillId="2" borderId="43" xfId="0" applyFont="1" applyFill="1" applyBorder="1" applyAlignment="1">
      <alignment horizontal="center" vertical="center" wrapText="1"/>
    </xf>
    <xf numFmtId="0" fontId="3" fillId="2" borderId="44" xfId="0" applyFont="1" applyFill="1" applyBorder="1" applyAlignment="1">
      <alignment horizontal="center" vertical="center" wrapText="1"/>
    </xf>
    <xf numFmtId="0" fontId="5" fillId="2" borderId="37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3" fillId="2" borderId="76" xfId="0" applyFont="1" applyFill="1" applyBorder="1" applyAlignment="1">
      <alignment horizontal="center" vertical="center" wrapText="1"/>
    </xf>
    <xf numFmtId="0" fontId="3" fillId="2" borderId="77" xfId="0" applyFont="1" applyFill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9" fontId="1" fillId="0" borderId="47" xfId="0" applyNumberFormat="1" applyFont="1" applyBorder="1" applyAlignment="1">
      <alignment horizontal="center" vertical="center" wrapText="1"/>
    </xf>
    <xf numFmtId="9" fontId="1" fillId="0" borderId="79" xfId="0" applyNumberFormat="1" applyFont="1" applyBorder="1" applyAlignment="1">
      <alignment horizontal="center" vertical="center" wrapText="1"/>
    </xf>
    <xf numFmtId="10" fontId="1" fillId="0" borderId="118" xfId="0" applyNumberFormat="1" applyFont="1" applyBorder="1" applyAlignment="1">
      <alignment horizontal="center" vertical="center" wrapText="1"/>
    </xf>
    <xf numFmtId="10" fontId="1" fillId="0" borderId="119" xfId="0" applyNumberFormat="1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3" fillId="0" borderId="56" xfId="0" applyFont="1" applyBorder="1" applyAlignment="1">
      <alignment horizontal="center" vertical="center" wrapText="1"/>
    </xf>
    <xf numFmtId="0" fontId="12" fillId="0" borderId="56" xfId="0" applyFont="1" applyBorder="1" applyAlignment="1">
      <alignment horizontal="center"/>
    </xf>
    <xf numFmtId="0" fontId="3" fillId="2" borderId="56" xfId="0" applyFont="1" applyFill="1" applyBorder="1" applyAlignment="1">
      <alignment horizontal="center" vertical="center" wrapText="1"/>
    </xf>
    <xf numFmtId="0" fontId="0" fillId="0" borderId="69" xfId="0" applyBorder="1" applyAlignment="1">
      <alignment horizontal="center" wrapText="1"/>
    </xf>
    <xf numFmtId="0" fontId="0" fillId="0" borderId="70" xfId="0" applyBorder="1" applyAlignment="1">
      <alignment horizontal="center"/>
    </xf>
    <xf numFmtId="0" fontId="0" fillId="0" borderId="71" xfId="0" applyBorder="1" applyAlignment="1">
      <alignment horizontal="center"/>
    </xf>
    <xf numFmtId="0" fontId="0" fillId="0" borderId="72" xfId="0" applyBorder="1" applyAlignment="1">
      <alignment horizontal="center"/>
    </xf>
    <xf numFmtId="0" fontId="0" fillId="0" borderId="73" xfId="0" applyBorder="1" applyAlignment="1">
      <alignment horizontal="center"/>
    </xf>
    <xf numFmtId="0" fontId="0" fillId="0" borderId="74" xfId="0" applyBorder="1" applyAlignment="1">
      <alignment horizontal="center"/>
    </xf>
    <xf numFmtId="0" fontId="5" fillId="2" borderId="38" xfId="0" applyFont="1" applyFill="1" applyBorder="1" applyAlignment="1">
      <alignment horizontal="center" vertical="center" wrapText="1"/>
    </xf>
    <xf numFmtId="0" fontId="5" fillId="2" borderId="39" xfId="0" applyFont="1" applyFill="1" applyBorder="1" applyAlignment="1">
      <alignment horizontal="center" vertical="center" wrapText="1"/>
    </xf>
    <xf numFmtId="0" fontId="0" fillId="8" borderId="56" xfId="0" applyFill="1" applyBorder="1" applyAlignment="1">
      <alignment horizontal="center" vertical="center"/>
    </xf>
    <xf numFmtId="0" fontId="12" fillId="8" borderId="56" xfId="0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130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13" fillId="2" borderId="2" xfId="0" applyFont="1" applyFill="1" applyBorder="1" applyAlignment="1">
      <alignment horizontal="center" vertical="center" wrapText="1"/>
    </xf>
    <xf numFmtId="0" fontId="13" fillId="2" borderId="4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13" fillId="4" borderId="4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0" fontId="15" fillId="4" borderId="4" xfId="0" applyFont="1" applyFill="1" applyBorder="1" applyAlignment="1">
      <alignment horizontal="center" vertical="center" wrapText="1"/>
    </xf>
    <xf numFmtId="0" fontId="15" fillId="4" borderId="6" xfId="0" applyFont="1" applyFill="1" applyBorder="1" applyAlignment="1">
      <alignment horizontal="center" vertical="center" wrapText="1"/>
    </xf>
    <xf numFmtId="0" fontId="16" fillId="4" borderId="37" xfId="0" applyFont="1" applyFill="1" applyBorder="1" applyAlignment="1">
      <alignment horizontal="center" vertical="center" wrapText="1"/>
    </xf>
    <xf numFmtId="0" fontId="16" fillId="4" borderId="38" xfId="0" applyFont="1" applyFill="1" applyBorder="1" applyAlignment="1">
      <alignment horizontal="center" vertical="center" wrapText="1"/>
    </xf>
    <xf numFmtId="0" fontId="16" fillId="4" borderId="45" xfId="0" applyFont="1" applyFill="1" applyBorder="1" applyAlignment="1">
      <alignment horizontal="center" vertical="center" wrapText="1"/>
    </xf>
    <xf numFmtId="0" fontId="15" fillId="4" borderId="40" xfId="0" applyFont="1" applyFill="1" applyBorder="1" applyAlignment="1">
      <alignment horizontal="center" vertical="center" wrapText="1"/>
    </xf>
    <xf numFmtId="0" fontId="15" fillId="4" borderId="26" xfId="0" applyFont="1" applyFill="1" applyBorder="1" applyAlignment="1">
      <alignment horizontal="center" vertical="center" wrapText="1"/>
    </xf>
    <xf numFmtId="0" fontId="15" fillId="4" borderId="41" xfId="0" applyFont="1" applyFill="1" applyBorder="1" applyAlignment="1">
      <alignment horizontal="center" vertical="center" wrapText="1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0" fontId="22" fillId="6" borderId="0" xfId="0" applyFont="1" applyFill="1" applyBorder="1" applyAlignment="1">
      <alignment horizontal="center" vertical="center" wrapText="1"/>
    </xf>
    <xf numFmtId="0" fontId="22" fillId="6" borderId="95" xfId="0" applyFont="1" applyFill="1" applyBorder="1" applyAlignment="1">
      <alignment horizontal="center" vertical="center" wrapText="1"/>
    </xf>
    <xf numFmtId="0" fontId="22" fillId="6" borderId="98" xfId="0" applyFont="1" applyFill="1" applyBorder="1" applyAlignment="1">
      <alignment horizontal="center" vertical="center" wrapText="1"/>
    </xf>
    <xf numFmtId="0" fontId="25" fillId="7" borderId="103" xfId="0" applyFont="1" applyFill="1" applyBorder="1" applyAlignment="1">
      <alignment horizontal="center" vertical="center"/>
    </xf>
    <xf numFmtId="0" fontId="29" fillId="0" borderId="5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</cellXfs>
  <cellStyles count="3">
    <cellStyle name="Normal" xfId="0" builtinId="0"/>
    <cellStyle name="Normal 2" xfId="2"/>
    <cellStyle name="Percent" xfId="1" builtinId="5"/>
  </cellStyles>
  <dxfs count="0"/>
  <tableStyles count="0" defaultTableStyle="TableStyleMedium2" defaultPivotStyle="PivotStyleLight16"/>
  <colors>
    <mruColors>
      <color rgb="FFCCCCFF"/>
      <color rgb="FFCCFF33"/>
      <color rgb="FFFFCCCC"/>
      <color rgb="FFFFCC99"/>
      <color rgb="FFFFCCFF"/>
      <color rgb="FFFFCC66"/>
      <color rgb="FFFF9999"/>
      <color rgb="FFFF9966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theme" Target="theme/theme1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30103</xdr:colOff>
      <xdr:row>63</xdr:row>
      <xdr:rowOff>196191</xdr:rowOff>
    </xdr:from>
    <xdr:to>
      <xdr:col>77</xdr:col>
      <xdr:colOff>543480</xdr:colOff>
      <xdr:row>127</xdr:row>
      <xdr:rowOff>24395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494103" y="14320405"/>
          <a:ext cx="22366448" cy="137619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158</xdr:col>
      <xdr:colOff>606670</xdr:colOff>
      <xdr:row>54</xdr:row>
      <xdr:rowOff>7259</xdr:rowOff>
    </xdr:from>
    <xdr:to>
      <xdr:col>197</xdr:col>
      <xdr:colOff>460471</xdr:colOff>
      <xdr:row>135</xdr:row>
      <xdr:rowOff>42424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859488" y="15166441"/>
          <a:ext cx="25519347" cy="193853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63</xdr:col>
      <xdr:colOff>373888</xdr:colOff>
      <xdr:row>191</xdr:row>
      <xdr:rowOff>391148</xdr:rowOff>
    </xdr:from>
    <xdr:to>
      <xdr:col>81</xdr:col>
      <xdr:colOff>400915</xdr:colOff>
      <xdr:row>274</xdr:row>
      <xdr:rowOff>179966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394888" y="27061148"/>
          <a:ext cx="11457026" cy="158144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388373</xdr:colOff>
      <xdr:row>23</xdr:row>
      <xdr:rowOff>6391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603505" y="919514"/>
          <a:ext cx="3075826" cy="42022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74706</xdr:colOff>
      <xdr:row>133</xdr:row>
      <xdr:rowOff>45889</xdr:rowOff>
    </xdr:from>
    <xdr:to>
      <xdr:col>25</xdr:col>
      <xdr:colOff>409896</xdr:colOff>
      <xdr:row>175</xdr:row>
      <xdr:rowOff>182483</xdr:rowOff>
    </xdr:to>
    <xdr:pic>
      <xdr:nvPicPr>
        <xdr:cNvPr id="3" name="_x524315136" descr="EMB0000336063e1">
          <a:extLst>
            <a:ext uri="{FF2B5EF4-FFF2-40B4-BE49-F238E27FC236}">
              <a16:creationId xmlns:a16="http://schemas.microsoft.com/office/drawing/2014/main" id="{00000000-0008-0000-2E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1389530" y="29965595"/>
          <a:ext cx="15717131" cy="9235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49</xdr:col>
      <xdr:colOff>368328</xdr:colOff>
      <xdr:row>118</xdr:row>
      <xdr:rowOff>84940</xdr:rowOff>
    </xdr:from>
    <xdr:to>
      <xdr:col>89</xdr:col>
      <xdr:colOff>683161</xdr:colOff>
      <xdr:row>212</xdr:row>
      <xdr:rowOff>35215</xdr:rowOff>
    </xdr:to>
    <xdr:pic>
      <xdr:nvPicPr>
        <xdr:cNvPr id="2" name="_x185156296" descr="EMB00003da85858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38041146" y="28706122"/>
          <a:ext cx="27573651" cy="24299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396581</xdr:colOff>
      <xdr:row>132</xdr:row>
      <xdr:rowOff>26626</xdr:rowOff>
    </xdr:from>
    <xdr:to>
      <xdr:col>105</xdr:col>
      <xdr:colOff>1335</xdr:colOff>
      <xdr:row>188</xdr:row>
      <xdr:rowOff>201572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2F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42867" y="30987412"/>
          <a:ext cx="6290396" cy="14951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88</xdr:col>
      <xdr:colOff>434255</xdr:colOff>
      <xdr:row>131</xdr:row>
      <xdr:rowOff>97598</xdr:rowOff>
    </xdr:from>
    <xdr:to>
      <xdr:col>98</xdr:col>
      <xdr:colOff>427427</xdr:colOff>
      <xdr:row>188</xdr:row>
      <xdr:rowOff>51645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2F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27541" y="30840669"/>
          <a:ext cx="6270600" cy="14948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19780</xdr:colOff>
      <xdr:row>22</xdr:row>
      <xdr:rowOff>13606</xdr:rowOff>
    </xdr:from>
    <xdr:to>
      <xdr:col>62</xdr:col>
      <xdr:colOff>531775</xdr:colOff>
      <xdr:row>99</xdr:row>
      <xdr:rowOff>203715</xdr:rowOff>
    </xdr:to>
    <xdr:pic>
      <xdr:nvPicPr>
        <xdr:cNvPr id="2" name="_x185156296" descr="EMB00003da85858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24893637" y="4871356"/>
          <a:ext cx="21766352" cy="184645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332174</xdr:colOff>
      <xdr:row>21</xdr:row>
      <xdr:rowOff>283347</xdr:rowOff>
    </xdr:from>
    <xdr:to>
      <xdr:col>65</xdr:col>
      <xdr:colOff>668992</xdr:colOff>
      <xdr:row>84</xdr:row>
      <xdr:rowOff>1382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36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14960" y="4760097"/>
          <a:ext cx="6460032" cy="14687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648341</xdr:colOff>
      <xdr:row>10</xdr:row>
      <xdr:rowOff>64032</xdr:rowOff>
    </xdr:from>
    <xdr:to>
      <xdr:col>62</xdr:col>
      <xdr:colOff>296797</xdr:colOff>
      <xdr:row>71</xdr:row>
      <xdr:rowOff>79559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36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58576" y="2237973"/>
          <a:ext cx="6484044" cy="15135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433731</xdr:colOff>
      <xdr:row>23</xdr:row>
      <xdr:rowOff>124320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3700-00000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857505" y="894114"/>
          <a:ext cx="3177426" cy="4097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607800</xdr:colOff>
      <xdr:row>47</xdr:row>
      <xdr:rowOff>47224</xdr:rowOff>
    </xdr:from>
    <xdr:to>
      <xdr:col>24</xdr:col>
      <xdr:colOff>192646</xdr:colOff>
      <xdr:row>77</xdr:row>
      <xdr:rowOff>19731</xdr:rowOff>
    </xdr:to>
    <xdr:pic>
      <xdr:nvPicPr>
        <xdr:cNvPr id="4" name="_x524315136" descr="EMB0000336063e1">
          <a:extLst>
            <a:ext uri="{FF2B5EF4-FFF2-40B4-BE49-F238E27FC236}">
              <a16:creationId xmlns:a16="http://schemas.microsoft.com/office/drawing/2014/main" id="{00000000-0008-0000-37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5370300" y="9721903"/>
          <a:ext cx="11341417" cy="6095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310388</xdr:colOff>
      <xdr:row>22</xdr:row>
      <xdr:rowOff>137148</xdr:rowOff>
    </xdr:from>
    <xdr:to>
      <xdr:col>68</xdr:col>
      <xdr:colOff>337414</xdr:colOff>
      <xdr:row>88</xdr:row>
      <xdr:rowOff>151596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04495" y="5035719"/>
          <a:ext cx="12273455" cy="1545855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523875</xdr:colOff>
      <xdr:row>4</xdr:row>
      <xdr:rowOff>0</xdr:rowOff>
    </xdr:from>
    <xdr:to>
      <xdr:col>65</xdr:col>
      <xdr:colOff>377675</xdr:colOff>
      <xdr:row>83</xdr:row>
      <xdr:rowOff>35797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0" y="838200"/>
          <a:ext cx="26600000" cy="184190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3.xml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comments" Target="../comments6.xml"/><Relationship Id="rId1" Type="http://schemas.openxmlformats.org/officeDocument/2006/relationships/vmlDrawing" Target="../drawings/vmlDrawing6.vml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7.bin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8.xml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FF33"/>
  </sheetPr>
  <dimension ref="A1:C2"/>
  <sheetViews>
    <sheetView workbookViewId="0">
      <selection activeCell="C37" sqref="C37"/>
    </sheetView>
  </sheetViews>
  <sheetFormatPr defaultRowHeight="17"/>
  <cols>
    <col min="2" max="3" width="16.58203125" bestFit="1" customWidth="1"/>
  </cols>
  <sheetData>
    <row r="1" spans="1:3">
      <c r="A1" s="433" t="s">
        <v>899</v>
      </c>
      <c r="B1" s="433">
        <v>2025</v>
      </c>
      <c r="C1" s="194"/>
    </row>
    <row r="2" spans="1:3">
      <c r="A2" s="194"/>
      <c r="B2" s="411"/>
      <c r="C2" s="411"/>
    </row>
  </sheetData>
  <phoneticPr fontId="2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J52" sqref="J52"/>
    </sheetView>
  </sheetViews>
  <sheetFormatPr defaultRowHeight="17"/>
  <cols>
    <col min="2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'A.일산테크노밸리(859991)_수정'!EI91</f>
        <v>42.224589410702585</v>
      </c>
      <c r="C2" s="411">
        <f>'E.관광문화단지(849301)_수정'!ER17+'C.장항공공주택지구(849992)'!EZ137+'B.고양영상밸리(849991)_수정'!ER82</f>
        <v>40.309244701153489</v>
      </c>
    </row>
  </sheetData>
  <phoneticPr fontId="2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J52" sqref="J5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'A.일산테크노밸리(859991)_수정'!EI140</f>
        <v>42.088962183281232</v>
      </c>
      <c r="C2" s="411">
        <f>'E.관광문화단지(849301)_수정'!ER60+'C.장항공공주택지구(849992)'!EZ180+'B.고양영상밸리(849991)_수정'!ER108</f>
        <v>51.785948523419549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J52" sqref="J5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'A.일산테크노밸리(859991)_수정'!EJ91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B33" sqref="B33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'A.일산테크노밸리(859991)_수정'!EJ140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1" sqref="B1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'A.일산테크노밸리(859991)_수정'!EH91</f>
        <v>10425.519661414821</v>
      </c>
      <c r="C2" s="411">
        <f>'E.관광문화단지(849301)_수정'!EQ17+'D.cj라이브시티(849201)_수정'!EQ36+'B.고양영상밸리(849991)_수정'!EQ82</f>
        <v>9007.3693593753997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1" sqref="C1"/>
    </sheetView>
  </sheetViews>
  <sheetFormatPr defaultRowHeight="17"/>
  <cols>
    <col min="2" max="3" width="17.7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'A.일산테크노밸리(859991)_수정'!EH140</f>
        <v>10581.826974624353</v>
      </c>
      <c r="C2" s="411">
        <f>'E.관광문화단지(849301)_수정'!EQ60+'D.cj라이브시티(849201)_수정'!EQ79+'B.고양영상밸리(849991)_수정'!EQ108</f>
        <v>9027.4510770801789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'A.일산테크노밸리(859991)_수정'!EI91</f>
        <v>42.224589410702585</v>
      </c>
      <c r="C2" s="411">
        <f>'E.관광문화단지(849301)_수정'!ER17+'D.cj라이브시티(849201)_수정'!ER36+'B.고양영상밸리(849991)_수정'!ER82</f>
        <v>23.837407257995999</v>
      </c>
    </row>
  </sheetData>
  <phoneticPr fontId="2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'A.일산테크노밸리(859991)_수정'!EI140</f>
        <v>42.088962183281232</v>
      </c>
      <c r="C2" s="411">
        <f>'E.관광문화단지(849301)_수정'!ER60+'D.cj라이브시티(849201)_수정'!ER79+'B.고양영상밸리(849991)_수정'!ER108</f>
        <v>23.835146608262235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U51" sqref="U51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'A.일산테크노밸리(859991)_수정'!EJ91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'A.일산테크노밸리(859991)_수정'!EJ140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tabSelected="1" workbookViewId="0">
      <selection activeCell="B2" sqref="B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'A.일산테크노밸리(859991)_수정'!EH91</f>
        <v>10425.519661414821</v>
      </c>
      <c r="C2" s="411">
        <f>'D.cj라이브시티(849201)_수정'!EQ36+'C.장항공공주택지구(849992)'!EY137+'B.고양영상밸리(849991)_수정'!EQ82</f>
        <v>16658.282179694543</v>
      </c>
    </row>
  </sheetData>
  <phoneticPr fontId="2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Q45" sqref="Q45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'A.일산테크노밸리(859991)_수정'!EH91</f>
        <v>10425.519661414821</v>
      </c>
      <c r="C2" s="411">
        <f>'E.관광문화단지(849301)_수정'!EQ17+'D.cj라이브시티(849201)_수정'!EQ36+'C.장항공공주택지구(849992)'!EY137</f>
        <v>13230.842039667295</v>
      </c>
    </row>
  </sheetData>
  <phoneticPr fontId="2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Q45" sqref="Q45"/>
    </sheetView>
  </sheetViews>
  <sheetFormatPr defaultRowHeight="17"/>
  <cols>
    <col min="2" max="3" width="17.7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'A.일산테크노밸리(859991)_수정'!EH140</f>
        <v>10581.826974624353</v>
      </c>
      <c r="C2" s="411">
        <f>'E.관광문화단지(849301)_수정'!EQ60+'D.cj라이브시티(849201)_수정'!EQ79+'C.장항공공주택지구(849992)'!EY180</f>
        <v>13245.06446222165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Q45" sqref="Q45"/>
    </sheetView>
  </sheetViews>
  <sheetFormatPr defaultRowHeight="17"/>
  <cols>
    <col min="2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'A.일산테크노밸리(859991)_수정'!EI91</f>
        <v>42.224589410702585</v>
      </c>
      <c r="C2" s="411">
        <f>'E.관광문화단지(849301)_수정'!ER17+'D.cj라이브시티(849201)_수정'!ER36+'C.장항공공주택지구(849992)'!EZ137</f>
        <v>27.141672979574597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Q45" sqref="Q45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'A.일산테크노밸리(859991)_수정'!EI140</f>
        <v>42.088962183281232</v>
      </c>
      <c r="C2" s="411">
        <f>'E.관광문화단지(849301)_수정'!ER60+'D.cj라이브시티(849201)_수정'!ER79+'C.장항공공주택지구(849992)'!EZ180</f>
        <v>38.618376801840661</v>
      </c>
    </row>
  </sheetData>
  <phoneticPr fontId="2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Q45" sqref="Q45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'A.일산테크노밸리(859991)_수정'!EJ91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Q45" sqref="Q45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'A.일산테크노밸리(859991)_수정'!EJ140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J43" sqref="J43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'E.관광문화단지(849301)_수정'!EQ17+'D.cj라이브시티(849201)_수정'!EQ36+'C.장항공공주택지구(849992)'!EY137+'B.고양영상밸리(849991)_수정'!EQ82</f>
        <v>19034.308775560901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J43" sqref="J43"/>
    </sheetView>
  </sheetViews>
  <sheetFormatPr defaultRowHeight="17"/>
  <cols>
    <col min="2" max="3" width="17.7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'E.관광문화단지(849301)_수정'!EQ60+'D.cj라이브시티(849201)_수정'!EQ79+'C.장항공공주택지구(849992)'!EY180+'B.고양영상밸리(849991)_수정'!EQ108</f>
        <v>19062.021548684115</v>
      </c>
    </row>
  </sheetData>
  <phoneticPr fontId="2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J43" sqref="J43"/>
    </sheetView>
  </sheetViews>
  <sheetFormatPr defaultRowHeight="17"/>
  <cols>
    <col min="2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'E.관광문화단지(849301)_수정'!ER17+'D.cj라이브시티(849201)_수정'!ER36+'C.장항공공주택지구(849992)'!EZ137+'B.고양영상밸리(849991)_수정'!ER82</f>
        <v>42.500163852132928</v>
      </c>
    </row>
  </sheetData>
  <phoneticPr fontId="2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J43" sqref="J43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'E.관광문화단지(849301)_수정'!ER60+'D.cj라이브시티(849201)_수정'!ER79+'C.장항공공주택지구(849992)'!EZ180+'B.고양영상밸리(849991)_수정'!ER108</f>
        <v>53.976867674398989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2" sqref="C2"/>
    </sheetView>
  </sheetViews>
  <sheetFormatPr defaultRowHeight="17"/>
  <cols>
    <col min="2" max="3" width="17.7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'A.일산테크노밸리(859991)_수정'!EH140</f>
        <v>10581.826974624353</v>
      </c>
      <c r="C2" s="411">
        <f>'D.cj라이브시티(849201)_수정'!EQ79+'C.장항공공주택지구(849992)'!EY180+'B.고양영상밸리(849991)_수정'!EQ108</f>
        <v>16681.328010917357</v>
      </c>
    </row>
  </sheetData>
  <phoneticPr fontId="2" type="noConversion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J43" sqref="J43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J43" sqref="J43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3" width="16.582031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3" width="16.5820312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2" width="13.332031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2" width="13.3320312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'A.일산테크노밸리(859991)_수정'!EH91</f>
        <v>10425.519661414821</v>
      </c>
      <c r="C2" s="411">
        <v>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'A.일산테크노밸리(859991)_수정'!EH140</f>
        <v>10581.826974624353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2" sqref="C2"/>
    </sheetView>
  </sheetViews>
  <sheetFormatPr defaultRowHeight="17"/>
  <cols>
    <col min="2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'A.일산테크노밸리(859991)_수정'!EI91</f>
        <v>42.224589410702585</v>
      </c>
      <c r="C2" s="411">
        <f>'D.cj라이브시티(849201)_수정'!ER36+'C.장항공공주택지구(849992)'!EZ137+'B.고양영상밸리(849991)_수정'!ER82</f>
        <v>36.21216661767469</v>
      </c>
    </row>
  </sheetData>
  <phoneticPr fontId="2" type="noConversion"/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3320312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'A.일산테크노밸리(859991)_수정'!EI91</f>
        <v>42.224589410702585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3320312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'A.일산테크노밸리(859991)_수정'!EI140</f>
        <v>42.088962183281232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'A.일산테크노밸리(859991)_수정'!EJ91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'A.일산테크노밸리(859991)_수정'!EJ140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33203125" bestFit="1" customWidth="1"/>
    <col min="3" max="3" width="16.582031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'B.고양영상밸리(849991)_수정'!EQ82</f>
        <v>5803.4667358936076</v>
      </c>
    </row>
  </sheetData>
  <phoneticPr fontId="2" type="noConversion"/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3" sqref="C3"/>
    </sheetView>
  </sheetViews>
  <sheetFormatPr defaultRowHeight="17"/>
  <cols>
    <col min="2" max="2" width="13.33203125" bestFit="1" customWidth="1"/>
    <col min="3" max="3" width="16.5820312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'B.고양영상밸리(849991)_수정'!EQ108</f>
        <v>5816.9570864624648</v>
      </c>
    </row>
  </sheetData>
  <phoneticPr fontId="2" type="noConversion"/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332031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'B.고양영상밸리(849991)_수정'!ER82</f>
        <v>15.358490872558328</v>
      </c>
    </row>
  </sheetData>
  <phoneticPr fontId="2" type="noConversion"/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3320312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'B.고양영상밸리(849991)_수정'!ER108</f>
        <v>15.358490872558328</v>
      </c>
    </row>
  </sheetData>
  <phoneticPr fontId="2" type="noConversion"/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2" sqref="C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'A.일산테크노밸리(859991)_수정'!EI140</f>
        <v>42.088962183281232</v>
      </c>
      <c r="C2" s="411">
        <f>'D.cj라이브시티(849201)_수정'!ER79+'C.장항공공주택지구(849992)'!EZ180+'B.고양영상밸리(849991)_수정'!ER108</f>
        <v>47.691131089674521</v>
      </c>
    </row>
  </sheetData>
  <phoneticPr fontId="2" type="noConversion"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33203125" bestFit="1" customWidth="1"/>
    <col min="3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'C.장항공공주택지구(849992)'!EY137</f>
        <v>10026.939416185503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33203125" bestFit="1" customWidth="1"/>
    <col min="3" max="3" width="17.7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'C.장항공공주택지구(849992)'!EY180</f>
        <v>10034.570471603936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332031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'C.장항공공주택지구(849992)'!EZ137</f>
        <v>18.662756594136926</v>
      </c>
    </row>
  </sheetData>
  <phoneticPr fontId="2" type="noConversion"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3320312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'C.장항공공주택지구(849992)'!EZ180</f>
        <v>30.141721066136753</v>
      </c>
    </row>
  </sheetData>
  <phoneticPr fontId="2" type="noConversion"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Y50" sqref="Y50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2" sqref="B2"/>
    </sheetView>
  </sheetViews>
  <sheetFormatPr defaultRowHeight="17"/>
  <cols>
    <col min="2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T41" sqref="T41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'D.cj라이브시티(849201)_수정'!EQ36</f>
        <v>827.87602761543008</v>
      </c>
    </row>
  </sheetData>
  <phoneticPr fontId="2" type="noConversion"/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'D.cj라이브시티(849201)_수정'!EQ79</f>
        <v>829.80045285095503</v>
      </c>
    </row>
  </sheetData>
  <phoneticPr fontId="2" type="noConversion"/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34">
        <f>'D.cj라이브시티(849201)_수정'!ER36</f>
        <v>2.1909191509794379</v>
      </c>
    </row>
  </sheetData>
  <phoneticPr fontId="2" type="noConversion"/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'D.cj라이브시티(849201)_수정'!ER79</f>
        <v>2.190919150979437</v>
      </c>
    </row>
  </sheetData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2" sqref="C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'A.일산테크노밸리(859991)_수정'!EJ91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5" sqref="A5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C43" sqref="C43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'E.관광문화단지(849301)_수정'!EQ17</f>
        <v>2376.0265958663608</v>
      </c>
    </row>
  </sheetData>
  <phoneticPr fontId="2" type="noConversion"/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C47" sqref="C47"/>
    </sheetView>
  </sheetViews>
  <sheetFormatPr defaultRowHeight="17"/>
  <cols>
    <col min="2" max="3" width="17.7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'E.관광문화단지(849301)_수정'!EQ60</f>
        <v>2380.6935377667587</v>
      </c>
    </row>
  </sheetData>
  <phoneticPr fontId="2" type="noConversion"/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P15" sqref="P15"/>
    </sheetView>
  </sheetViews>
  <sheetFormatPr defaultRowHeight="17"/>
  <cols>
    <col min="2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'E.관광문화단지(849301)_수정'!ER17</f>
        <v>6.2879972344582322</v>
      </c>
    </row>
  </sheetData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Q6" sqref="Q6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v>0</v>
      </c>
      <c r="C2" s="411">
        <f>'E.관광문화단지(849301)_수정'!ER60</f>
        <v>6.2857365847244706</v>
      </c>
    </row>
  </sheetData>
  <phoneticPr fontId="2" type="noConversion"/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C45" sqref="C45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C45" sqref="C45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45" sqref="C45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'A.일산테크노밸리(859991)_수정'!EH91</f>
        <v>10425.519661414821</v>
      </c>
      <c r="C2" s="411">
        <f>'E.관광문화단지(849301)_수정'!EQ17+'D.cj라이브시티(849201)_수정'!EQ36+'C.장항공공주택지구(849992)'!EY137+'B.고양영상밸리(849991)_수정'!EQ82</f>
        <v>19034.308775560901</v>
      </c>
    </row>
  </sheetData>
  <phoneticPr fontId="2" type="noConversion"/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45" sqref="C45"/>
    </sheetView>
  </sheetViews>
  <sheetFormatPr defaultRowHeight="17"/>
  <cols>
    <col min="2" max="3" width="17.7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'A.일산테크노밸리(859991)_수정'!EH140</f>
        <v>10581.826974624353</v>
      </c>
      <c r="C2" s="411">
        <f>'E.관광문화단지(849301)_수정'!EQ60+'D.cj라이브시티(849201)_수정'!EQ79+'C.장항공공주택지구(849992)'!EY180+'B.고양영상밸리(849991)_수정'!EQ108</f>
        <v>19062.021548684115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2" sqref="C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'A.일산테크노밸리(859991)_수정'!EJ140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45" sqref="C45"/>
    </sheetView>
  </sheetViews>
  <sheetFormatPr defaultRowHeight="17"/>
  <cols>
    <col min="2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'A.일산테크노밸리(859991)_수정'!EI91</f>
        <v>42.224589410702585</v>
      </c>
      <c r="C2" s="411">
        <f>'E.관광문화단지(849301)_수정'!ER17+'D.cj라이브시티(849201)_수정'!ER36+'C.장항공공주택지구(849992)'!EZ137+'B.고양영상밸리(849991)_수정'!ER82</f>
        <v>42.500163852132928</v>
      </c>
    </row>
  </sheetData>
  <phoneticPr fontId="2" type="noConversion"/>
  <pageMargins left="0.7" right="0.7" top="0.75" bottom="0.75" header="0.3" footer="0.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45" sqref="C45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'A.일산테크노밸리(859991)_수정'!EI140</f>
        <v>42.088962183281232</v>
      </c>
      <c r="C2" s="411">
        <f>'E.관광문화단지(849301)_수정'!ER60+'D.cj라이브시티(849201)_수정'!ER79+'C.장항공공주택지구(849992)'!EZ180+'B.고양영상밸리(849991)_수정'!ER108</f>
        <v>53.976867674398989</v>
      </c>
    </row>
  </sheetData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45" sqref="C45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'A.일산테크노밸리(859991)_수정'!EJ91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45" sqref="C45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834</v>
      </c>
      <c r="B1" s="194">
        <v>859</v>
      </c>
      <c r="C1" s="194">
        <v>849</v>
      </c>
    </row>
    <row r="2" spans="1:3">
      <c r="A2" s="194">
        <f>기준년도설정!B1</f>
        <v>2025</v>
      </c>
      <c r="B2" s="410">
        <f>'A.일산테크노밸리(859991)_수정'!EJ140</f>
        <v>194.20000000000005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79998168889431442"/>
  </sheetPr>
  <dimension ref="A1:FH67"/>
  <sheetViews>
    <sheetView zoomScale="85" zoomScaleNormal="85" workbookViewId="0">
      <selection activeCell="C17" sqref="C17"/>
    </sheetView>
  </sheetViews>
  <sheetFormatPr defaultRowHeight="17"/>
  <cols>
    <col min="13" max="13" width="10.08203125" bestFit="1" customWidth="1"/>
    <col min="27" max="27" width="10.08203125" bestFit="1" customWidth="1"/>
    <col min="41" max="41" width="10.08203125" bestFit="1" customWidth="1"/>
  </cols>
  <sheetData>
    <row r="1" spans="1:158">
      <c r="A1" s="32" t="s">
        <v>234</v>
      </c>
    </row>
    <row r="2" spans="1:158">
      <c r="B2" t="s">
        <v>153</v>
      </c>
      <c r="C2" t="s">
        <v>730</v>
      </c>
    </row>
    <row r="4" spans="1:158">
      <c r="B4" s="437" t="s">
        <v>731</v>
      </c>
      <c r="C4" s="437"/>
      <c r="D4" s="437" t="s">
        <v>733</v>
      </c>
      <c r="E4" s="437"/>
      <c r="F4" s="437" t="s">
        <v>741</v>
      </c>
      <c r="G4" s="437"/>
      <c r="H4" s="437" t="s">
        <v>736</v>
      </c>
      <c r="I4" s="437"/>
      <c r="J4" s="437" t="s">
        <v>737</v>
      </c>
      <c r="K4" s="437"/>
      <c r="L4" s="437" t="s">
        <v>739</v>
      </c>
      <c r="M4" s="437"/>
    </row>
    <row r="5" spans="1:158" ht="23">
      <c r="B5" t="s">
        <v>734</v>
      </c>
      <c r="C5" t="s">
        <v>735</v>
      </c>
      <c r="D5" t="s">
        <v>734</v>
      </c>
      <c r="E5" t="s">
        <v>735</v>
      </c>
      <c r="F5" t="s">
        <v>734</v>
      </c>
      <c r="G5" t="s">
        <v>735</v>
      </c>
      <c r="H5" t="s">
        <v>734</v>
      </c>
      <c r="I5" t="s">
        <v>735</v>
      </c>
      <c r="J5" t="s">
        <v>738</v>
      </c>
      <c r="K5" t="s">
        <v>732</v>
      </c>
      <c r="L5" t="s">
        <v>734</v>
      </c>
      <c r="M5" t="s">
        <v>740</v>
      </c>
      <c r="O5" s="351"/>
    </row>
    <row r="6" spans="1:158">
      <c r="A6" t="s">
        <v>742</v>
      </c>
      <c r="B6">
        <v>1764</v>
      </c>
      <c r="C6">
        <v>1764</v>
      </c>
      <c r="D6">
        <v>769</v>
      </c>
      <c r="E6">
        <v>769</v>
      </c>
      <c r="F6">
        <v>954</v>
      </c>
      <c r="G6">
        <v>954</v>
      </c>
      <c r="H6">
        <v>1767</v>
      </c>
      <c r="I6">
        <v>1767</v>
      </c>
      <c r="J6">
        <v>276</v>
      </c>
      <c r="K6">
        <v>276</v>
      </c>
      <c r="L6">
        <v>5530</v>
      </c>
      <c r="M6">
        <v>5530</v>
      </c>
    </row>
    <row r="7" spans="1:158">
      <c r="A7" t="s">
        <v>743</v>
      </c>
      <c r="B7">
        <v>1783</v>
      </c>
      <c r="C7">
        <v>1785</v>
      </c>
      <c r="D7">
        <v>796</v>
      </c>
      <c r="E7">
        <v>798</v>
      </c>
      <c r="F7">
        <v>923</v>
      </c>
      <c r="G7">
        <v>922</v>
      </c>
      <c r="H7">
        <v>1803</v>
      </c>
      <c r="I7">
        <v>1801</v>
      </c>
      <c r="J7">
        <v>256</v>
      </c>
      <c r="K7">
        <v>257</v>
      </c>
      <c r="L7">
        <v>5561</v>
      </c>
      <c r="M7">
        <v>5563</v>
      </c>
    </row>
    <row r="8" spans="1:158">
      <c r="EU8" s="32" t="s">
        <v>864</v>
      </c>
    </row>
    <row r="9" spans="1:158">
      <c r="ET9" s="279"/>
      <c r="EU9" s="279" t="s">
        <v>602</v>
      </c>
    </row>
    <row r="10" spans="1:158">
      <c r="ET10" s="279" t="s">
        <v>603</v>
      </c>
      <c r="EU10" s="293">
        <v>1</v>
      </c>
    </row>
    <row r="11" spans="1:158">
      <c r="J11" s="403"/>
      <c r="K11" s="32" t="s">
        <v>852</v>
      </c>
    </row>
    <row r="13" spans="1:158" s="227" customFormat="1" ht="19.5">
      <c r="A13" s="329">
        <v>2025</v>
      </c>
      <c r="B13" s="282"/>
      <c r="C13" s="283"/>
      <c r="D13" s="284"/>
      <c r="E13" s="284"/>
      <c r="F13" s="284"/>
      <c r="G13" s="284"/>
      <c r="H13" s="284"/>
      <c r="I13" s="284"/>
      <c r="K13" s="282"/>
      <c r="L13" s="282"/>
      <c r="M13" s="283"/>
      <c r="N13" s="284"/>
      <c r="O13" s="284"/>
      <c r="P13" s="284"/>
      <c r="Q13" s="284"/>
      <c r="R13" s="284"/>
      <c r="S13" s="284"/>
    </row>
    <row r="14" spans="1:158" ht="23.5" thickBot="1">
      <c r="A14" s="32" t="s">
        <v>469</v>
      </c>
      <c r="C14" t="s">
        <v>464</v>
      </c>
      <c r="D14" t="s">
        <v>468</v>
      </c>
      <c r="E14" t="s">
        <v>471</v>
      </c>
      <c r="F14" t="s">
        <v>466</v>
      </c>
      <c r="G14" t="s">
        <v>467</v>
      </c>
      <c r="H14" t="s">
        <v>21</v>
      </c>
      <c r="K14" s="32" t="s">
        <v>472</v>
      </c>
      <c r="CV14" s="32" t="s">
        <v>493</v>
      </c>
      <c r="CY14" t="s">
        <v>479</v>
      </c>
      <c r="CZ14" t="s">
        <v>480</v>
      </c>
      <c r="EL14" s="353" t="s">
        <v>855</v>
      </c>
      <c r="EV14" s="353" t="s">
        <v>746</v>
      </c>
    </row>
    <row r="15" spans="1:158">
      <c r="A15" t="s">
        <v>463</v>
      </c>
      <c r="C15" t="s">
        <v>427</v>
      </c>
      <c r="D15" t="s">
        <v>428</v>
      </c>
      <c r="E15" t="s">
        <v>429</v>
      </c>
      <c r="F15" t="s">
        <v>430</v>
      </c>
      <c r="G15" t="s">
        <v>431</v>
      </c>
      <c r="H15" t="s">
        <v>457</v>
      </c>
      <c r="K15" s="159" t="s">
        <v>483</v>
      </c>
      <c r="L15" s="159"/>
      <c r="M15" s="441" t="s">
        <v>464</v>
      </c>
      <c r="N15" s="442"/>
      <c r="O15" s="442"/>
      <c r="P15" s="442"/>
      <c r="Q15" s="442"/>
      <c r="R15" s="442"/>
      <c r="S15" s="442"/>
      <c r="T15" s="442"/>
      <c r="U15" s="442"/>
      <c r="V15" s="442"/>
      <c r="W15" s="442"/>
      <c r="X15" s="442"/>
      <c r="Y15" s="442"/>
      <c r="Z15" s="443"/>
      <c r="AA15" s="441" t="s">
        <v>468</v>
      </c>
      <c r="AB15" s="442"/>
      <c r="AC15" s="442"/>
      <c r="AD15" s="442"/>
      <c r="AE15" s="442"/>
      <c r="AF15" s="442"/>
      <c r="AG15" s="442"/>
      <c r="AH15" s="442"/>
      <c r="AI15" s="442"/>
      <c r="AJ15" s="442"/>
      <c r="AK15" s="442"/>
      <c r="AL15" s="442"/>
      <c r="AM15" s="442"/>
      <c r="AN15" s="443"/>
      <c r="AO15" s="441" t="s">
        <v>465</v>
      </c>
      <c r="AP15" s="442"/>
      <c r="AQ15" s="442"/>
      <c r="AR15" s="442"/>
      <c r="AS15" s="442"/>
      <c r="AT15" s="442"/>
      <c r="AU15" s="442"/>
      <c r="AV15" s="442"/>
      <c r="AW15" s="442"/>
      <c r="AX15" s="442"/>
      <c r="AY15" s="442"/>
      <c r="AZ15" s="442"/>
      <c r="BA15" s="442"/>
      <c r="BB15" s="443"/>
      <c r="BC15" s="441" t="s">
        <v>466</v>
      </c>
      <c r="BD15" s="442"/>
      <c r="BE15" s="442"/>
      <c r="BF15" s="442"/>
      <c r="BG15" s="442"/>
      <c r="BH15" s="442"/>
      <c r="BI15" s="442"/>
      <c r="BJ15" s="442"/>
      <c r="BK15" s="442"/>
      <c r="BL15" s="442"/>
      <c r="BM15" s="442"/>
      <c r="BN15" s="442"/>
      <c r="BO15" s="442"/>
      <c r="BP15" s="443"/>
      <c r="BQ15" s="441" t="s">
        <v>467</v>
      </c>
      <c r="BR15" s="442"/>
      <c r="BS15" s="442"/>
      <c r="BT15" s="442"/>
      <c r="BU15" s="442"/>
      <c r="BV15" s="442"/>
      <c r="BW15" s="442"/>
      <c r="BX15" s="442"/>
      <c r="BY15" s="442"/>
      <c r="BZ15" s="442"/>
      <c r="CA15" s="442"/>
      <c r="CB15" s="442"/>
      <c r="CC15" s="442"/>
      <c r="CD15" s="443"/>
      <c r="CE15" s="441" t="s">
        <v>21</v>
      </c>
      <c r="CF15" s="442"/>
      <c r="CG15" s="442"/>
      <c r="CH15" s="442"/>
      <c r="CI15" s="442"/>
      <c r="CJ15" s="442"/>
      <c r="CK15" s="442"/>
      <c r="CL15" s="442"/>
      <c r="CM15" s="442"/>
      <c r="CN15" s="442"/>
      <c r="CO15" s="442"/>
      <c r="CP15" s="442"/>
      <c r="CQ15" s="442"/>
      <c r="CR15" s="443"/>
      <c r="CV15" s="263" t="s">
        <v>483</v>
      </c>
      <c r="CW15" s="263"/>
      <c r="CX15" s="445" t="s">
        <v>555</v>
      </c>
      <c r="CY15" s="439"/>
      <c r="CZ15" s="439"/>
      <c r="DA15" s="446"/>
      <c r="DB15" s="438" t="s">
        <v>554</v>
      </c>
      <c r="DC15" s="439"/>
      <c r="DD15" s="439"/>
      <c r="DE15" s="446"/>
      <c r="DF15" s="438" t="s">
        <v>465</v>
      </c>
      <c r="DG15" s="439"/>
      <c r="DH15" s="439"/>
      <c r="DI15" s="446"/>
      <c r="DJ15" s="438" t="s">
        <v>466</v>
      </c>
      <c r="DK15" s="439"/>
      <c r="DL15" s="439"/>
      <c r="DM15" s="446"/>
      <c r="DN15" s="438" t="s">
        <v>467</v>
      </c>
      <c r="DO15" s="439"/>
      <c r="DP15" s="439"/>
      <c r="DQ15" s="446"/>
      <c r="DR15" s="438" t="s">
        <v>21</v>
      </c>
      <c r="DS15" s="439"/>
      <c r="DT15" s="439"/>
      <c r="DU15" s="440"/>
      <c r="DW15" s="278"/>
      <c r="DX15" s="278"/>
      <c r="DY15" s="444" t="s">
        <v>589</v>
      </c>
      <c r="DZ15" s="444"/>
      <c r="EB15" s="278"/>
      <c r="EC15" s="278"/>
      <c r="ED15" s="444" t="s">
        <v>589</v>
      </c>
      <c r="EE15" s="444"/>
      <c r="EI15" t="s">
        <v>600</v>
      </c>
    </row>
    <row r="16" spans="1:158">
      <c r="A16" s="199"/>
      <c r="B16" s="199"/>
      <c r="C16" s="202" t="s">
        <v>464</v>
      </c>
      <c r="D16" s="202" t="s">
        <v>468</v>
      </c>
      <c r="E16" s="202" t="s">
        <v>465</v>
      </c>
      <c r="F16" s="202" t="s">
        <v>466</v>
      </c>
      <c r="G16" s="202" t="s">
        <v>559</v>
      </c>
      <c r="H16" s="202" t="s">
        <v>21</v>
      </c>
      <c r="K16" s="159"/>
      <c r="L16" s="159"/>
      <c r="M16" s="211" t="s">
        <v>473</v>
      </c>
      <c r="N16" s="160" t="s">
        <v>156</v>
      </c>
      <c r="O16" s="160" t="s">
        <v>476</v>
      </c>
      <c r="P16" s="160" t="s">
        <v>477</v>
      </c>
      <c r="Q16" s="160" t="s">
        <v>478</v>
      </c>
      <c r="R16" s="160" t="s">
        <v>479</v>
      </c>
      <c r="S16" s="160" t="s">
        <v>480</v>
      </c>
      <c r="T16" s="160" t="s">
        <v>481</v>
      </c>
      <c r="U16" s="160" t="s">
        <v>449</v>
      </c>
      <c r="V16" s="160" t="s">
        <v>157</v>
      </c>
      <c r="W16" s="160" t="s">
        <v>474</v>
      </c>
      <c r="X16" s="160" t="s">
        <v>475</v>
      </c>
      <c r="Y16" s="160" t="s">
        <v>46</v>
      </c>
      <c r="Z16" s="212" t="s">
        <v>11</v>
      </c>
      <c r="AA16" s="211" t="s">
        <v>473</v>
      </c>
      <c r="AB16" s="160" t="s">
        <v>156</v>
      </c>
      <c r="AC16" s="160" t="s">
        <v>476</v>
      </c>
      <c r="AD16" s="160" t="s">
        <v>477</v>
      </c>
      <c r="AE16" s="160" t="s">
        <v>478</v>
      </c>
      <c r="AF16" s="160" t="s">
        <v>479</v>
      </c>
      <c r="AG16" s="160" t="s">
        <v>480</v>
      </c>
      <c r="AH16" s="160" t="s">
        <v>481</v>
      </c>
      <c r="AI16" s="160" t="s">
        <v>449</v>
      </c>
      <c r="AJ16" s="160" t="s">
        <v>157</v>
      </c>
      <c r="AK16" s="160" t="s">
        <v>474</v>
      </c>
      <c r="AL16" s="160" t="s">
        <v>475</v>
      </c>
      <c r="AM16" s="160" t="s">
        <v>46</v>
      </c>
      <c r="AN16" s="212" t="s">
        <v>11</v>
      </c>
      <c r="AO16" s="211" t="s">
        <v>473</v>
      </c>
      <c r="AP16" s="160" t="s">
        <v>156</v>
      </c>
      <c r="AQ16" s="160" t="s">
        <v>476</v>
      </c>
      <c r="AR16" s="160" t="s">
        <v>477</v>
      </c>
      <c r="AS16" s="160" t="s">
        <v>478</v>
      </c>
      <c r="AT16" s="160" t="s">
        <v>479</v>
      </c>
      <c r="AU16" s="160" t="s">
        <v>480</v>
      </c>
      <c r="AV16" s="160" t="s">
        <v>481</v>
      </c>
      <c r="AW16" s="160" t="s">
        <v>449</v>
      </c>
      <c r="AX16" s="160" t="s">
        <v>157</v>
      </c>
      <c r="AY16" s="160" t="s">
        <v>474</v>
      </c>
      <c r="AZ16" s="160" t="s">
        <v>475</v>
      </c>
      <c r="BA16" s="160" t="s">
        <v>46</v>
      </c>
      <c r="BB16" s="212" t="s">
        <v>11</v>
      </c>
      <c r="BC16" s="211" t="s">
        <v>473</v>
      </c>
      <c r="BD16" s="160" t="s">
        <v>156</v>
      </c>
      <c r="BE16" s="160" t="s">
        <v>476</v>
      </c>
      <c r="BF16" s="160" t="s">
        <v>477</v>
      </c>
      <c r="BG16" s="160" t="s">
        <v>478</v>
      </c>
      <c r="BH16" s="160" t="s">
        <v>479</v>
      </c>
      <c r="BI16" s="160" t="s">
        <v>480</v>
      </c>
      <c r="BJ16" s="160" t="s">
        <v>481</v>
      </c>
      <c r="BK16" s="160" t="s">
        <v>449</v>
      </c>
      <c r="BL16" s="160" t="s">
        <v>157</v>
      </c>
      <c r="BM16" s="160" t="s">
        <v>474</v>
      </c>
      <c r="BN16" s="160" t="s">
        <v>475</v>
      </c>
      <c r="BO16" s="160" t="s">
        <v>46</v>
      </c>
      <c r="BP16" s="212" t="s">
        <v>11</v>
      </c>
      <c r="BQ16" s="211" t="s">
        <v>473</v>
      </c>
      <c r="BR16" s="160" t="s">
        <v>156</v>
      </c>
      <c r="BS16" s="160" t="s">
        <v>476</v>
      </c>
      <c r="BT16" s="160" t="s">
        <v>477</v>
      </c>
      <c r="BU16" s="160" t="s">
        <v>478</v>
      </c>
      <c r="BV16" s="160" t="s">
        <v>479</v>
      </c>
      <c r="BW16" s="160" t="s">
        <v>480</v>
      </c>
      <c r="BX16" s="160" t="s">
        <v>481</v>
      </c>
      <c r="BY16" s="160" t="s">
        <v>449</v>
      </c>
      <c r="BZ16" s="160" t="s">
        <v>157</v>
      </c>
      <c r="CA16" s="160" t="s">
        <v>474</v>
      </c>
      <c r="CB16" s="160" t="s">
        <v>475</v>
      </c>
      <c r="CC16" s="160" t="s">
        <v>46</v>
      </c>
      <c r="CD16" s="212" t="s">
        <v>11</v>
      </c>
      <c r="CE16" s="211" t="s">
        <v>473</v>
      </c>
      <c r="CF16" s="160" t="s">
        <v>156</v>
      </c>
      <c r="CG16" s="160" t="s">
        <v>476</v>
      </c>
      <c r="CH16" s="160" t="s">
        <v>477</v>
      </c>
      <c r="CI16" s="160" t="s">
        <v>478</v>
      </c>
      <c r="CJ16" s="160" t="s">
        <v>479</v>
      </c>
      <c r="CK16" s="160" t="s">
        <v>480</v>
      </c>
      <c r="CL16" s="160" t="s">
        <v>481</v>
      </c>
      <c r="CM16" s="160" t="s">
        <v>449</v>
      </c>
      <c r="CN16" s="160" t="s">
        <v>157</v>
      </c>
      <c r="CO16" s="160" t="s">
        <v>474</v>
      </c>
      <c r="CP16" s="160" t="s">
        <v>475</v>
      </c>
      <c r="CQ16" s="160" t="s">
        <v>46</v>
      </c>
      <c r="CR16" s="212" t="s">
        <v>11</v>
      </c>
      <c r="CV16" s="263"/>
      <c r="CW16" s="263"/>
      <c r="CX16" s="264" t="s">
        <v>156</v>
      </c>
      <c r="CY16" s="264" t="s">
        <v>479</v>
      </c>
      <c r="CZ16" s="264" t="s">
        <v>480</v>
      </c>
      <c r="DA16" s="264" t="s">
        <v>157</v>
      </c>
      <c r="DB16" s="264" t="s">
        <v>156</v>
      </c>
      <c r="DC16" s="264" t="s">
        <v>479</v>
      </c>
      <c r="DD16" s="264" t="s">
        <v>480</v>
      </c>
      <c r="DE16" s="264" t="s">
        <v>157</v>
      </c>
      <c r="DF16" s="264" t="s">
        <v>156</v>
      </c>
      <c r="DG16" s="264" t="s">
        <v>479</v>
      </c>
      <c r="DH16" s="264" t="s">
        <v>480</v>
      </c>
      <c r="DI16" s="264" t="s">
        <v>157</v>
      </c>
      <c r="DJ16" s="264" t="s">
        <v>156</v>
      </c>
      <c r="DK16" s="264" t="s">
        <v>479</v>
      </c>
      <c r="DL16" s="264" t="s">
        <v>480</v>
      </c>
      <c r="DM16" s="264" t="s">
        <v>157</v>
      </c>
      <c r="DN16" s="264" t="s">
        <v>156</v>
      </c>
      <c r="DO16" s="264" t="s">
        <v>479</v>
      </c>
      <c r="DP16" s="264" t="s">
        <v>480</v>
      </c>
      <c r="DQ16" s="264" t="s">
        <v>157</v>
      </c>
      <c r="DR16" s="264" t="s">
        <v>156</v>
      </c>
      <c r="DS16" s="264" t="s">
        <v>479</v>
      </c>
      <c r="DT16" s="264" t="s">
        <v>480</v>
      </c>
      <c r="DU16" s="264" t="s">
        <v>157</v>
      </c>
      <c r="DW16" s="278"/>
      <c r="DX16" s="278"/>
      <c r="DY16" s="280" t="s">
        <v>586</v>
      </c>
      <c r="DZ16" s="280" t="s">
        <v>259</v>
      </c>
      <c r="EB16" s="278"/>
      <c r="EC16" s="278"/>
      <c r="ED16" s="280" t="s">
        <v>586</v>
      </c>
      <c r="EE16" s="280" t="s">
        <v>259</v>
      </c>
      <c r="EL16" s="420" t="s">
        <v>565</v>
      </c>
      <c r="EM16" s="420" t="s">
        <v>566</v>
      </c>
      <c r="EN16" s="420" t="s">
        <v>567</v>
      </c>
      <c r="EO16" s="420" t="s">
        <v>563</v>
      </c>
      <c r="EP16" s="421" t="s">
        <v>598</v>
      </c>
      <c r="EQ16" s="421" t="s">
        <v>586</v>
      </c>
      <c r="ER16" s="421" t="s">
        <v>259</v>
      </c>
      <c r="ES16" s="424" t="s">
        <v>868</v>
      </c>
      <c r="EV16" s="306" t="s">
        <v>565</v>
      </c>
      <c r="EW16" s="306" t="s">
        <v>566</v>
      </c>
      <c r="EX16" s="306" t="s">
        <v>567</v>
      </c>
      <c r="EY16" s="306" t="s">
        <v>563</v>
      </c>
      <c r="EZ16" s="307" t="s">
        <v>598</v>
      </c>
      <c r="FA16" s="307" t="s">
        <v>586</v>
      </c>
      <c r="FB16" s="307" t="s">
        <v>259</v>
      </c>
    </row>
    <row r="17" spans="1:158">
      <c r="A17" s="205"/>
      <c r="B17" s="205" t="s">
        <v>745</v>
      </c>
      <c r="C17" s="400">
        <f>$M$7*KTDB_TripDistribution_2025!L$12 * (1+KTDB_발생량도착량_증가율!$C$8*5)</f>
        <v>711.1245349814651</v>
      </c>
      <c r="D17" s="400">
        <f>$M$7*KTDB_TripDistribution_2025!M$12 * (1+KTDB_발생량도착량_증가율!$C$8*5)</f>
        <v>5529.7992153917949</v>
      </c>
      <c r="E17" s="400">
        <f>$M$7*KTDB_TripDistribution_2025!N$12 * (1+KTDB_발생량도착량_증가율!$C$8*5)</f>
        <v>245.11030279583952</v>
      </c>
      <c r="F17" s="400">
        <f>$M$7*KTDB_TripDistribution_2025!O$12 * (1+KTDB_발생량도착량_증가율!$C$8*5)</f>
        <v>0.66470590588702483</v>
      </c>
      <c r="G17" s="400">
        <f>$M$7*KTDB_TripDistribution_2025!P$12 * (1+KTDB_발생량도착량_증가율!$C$8*5)</f>
        <v>1.8833334000132276</v>
      </c>
      <c r="H17" s="400">
        <f>$M$7*KTDB_TripDistribution_2025!Q$12 * (1+KTDB_발생량도착량_증가율!$C$8*5)</f>
        <v>6488.5820924749996</v>
      </c>
      <c r="J17" s="230">
        <f t="shared" ref="J17" si="0">CR17</f>
        <v>6488.5820924749996</v>
      </c>
      <c r="K17" s="206"/>
      <c r="L17" s="206" t="s">
        <v>744</v>
      </c>
      <c r="M17" s="206">
        <f>INDEX($A$16:$H$17,MATCH($L17,$B$16:$B$17,0),MATCH($M$15,$A$16:$H$16,0))*고양시_Modal_split!C$3 * 0.01</f>
        <v>1.9911486979481021</v>
      </c>
      <c r="N17" s="206">
        <f>INDEX($A$16:$H$17,MATCH($L17,$B$16:$B$17,0),MATCH($M$15,$A$16:$H$16,0))*고양시_Modal_split!D$3 * 0.01</f>
        <v>334.44186880178307</v>
      </c>
      <c r="O17" s="206">
        <f>INDEX($A$16:$H$17,MATCH($L17,$B$16:$B$17,0),MATCH($M$15,$A$16:$H$16,0))*고양시_Modal_split!E$3 * 0.01</f>
        <v>40.462986040445365</v>
      </c>
      <c r="P17" s="206">
        <f>INDEX($A$16:$H$17,MATCH($L17,$B$16:$B$17,0),MATCH($M$15,$A$16:$H$16,0))*고양시_Modal_split!F$3 * 0.01</f>
        <v>65.21011985780035</v>
      </c>
      <c r="Q17" s="206">
        <f>INDEX($A$16:$H$17,MATCH($L17,$B$16:$B$17,0),MATCH($M$15,$A$16:$H$16,0))*고양시_Modal_split!G$3 * 0.01</f>
        <v>6.5423457218294789</v>
      </c>
      <c r="R17" s="206">
        <f>INDEX($A$16:$H$17,MATCH($L17,$B$16:$B$17,0),MATCH($M$15,$A$16:$H$16,0))*고양시_Modal_split!H$3 * 0.01</f>
        <v>7.1112453498146516E-2</v>
      </c>
      <c r="S17" s="206">
        <f>INDEX($A$16:$H$17,MATCH($L17,$B$16:$B$17,0),MATCH($M$15,$A$16:$H$16,0))*고양시_Modal_split!I$3 * 0.01</f>
        <v>19.769262072484729</v>
      </c>
      <c r="T17" s="206">
        <f>INDEX($A$16:$H$17,MATCH($L17,$B$16:$B$17,0),MATCH($M$15,$A$16:$H$16,0))*고양시_Modal_split!J$3 * 0.01</f>
        <v>216.46630844835801</v>
      </c>
      <c r="U17" s="206">
        <f>INDEX($A$16:$H$17,MATCH($L17,$B$16:$B$17,0),MATCH($M$15,$A$16:$H$16,0))*고양시_Modal_split!K$3 * 0.01</f>
        <v>1.0666868024721976</v>
      </c>
      <c r="V17" s="206">
        <f>INDEX($A$16:$H$17,MATCH($L17,$B$16:$B$17,0),MATCH($M$15,$A$16:$H$16,0))*고양시_Modal_split!L$3 * 0.01</f>
        <v>21.475960956440243</v>
      </c>
      <c r="W17" s="206">
        <f>INDEX($A$16:$H$17,MATCH($L17,$B$16:$B$17,0),MATCH($M$15,$A$16:$H$16,0))*고양시_Modal_split!M$3 * 0.01</f>
        <v>1.6355864304573697</v>
      </c>
      <c r="X17" s="206">
        <f>INDEX($A$16:$H$17,MATCH($L17,$B$16:$B$17,0),MATCH($M$15,$A$16:$H$16,0))*고양시_Modal_split!N$3 * 0.01</f>
        <v>0.71112453498146511</v>
      </c>
      <c r="Y17" s="206">
        <f>INDEX($A$16:$H$17,MATCH($L17,$B$16:$B$17,0),MATCH($M$15,$A$16:$H$16,0))*고양시_Modal_split!O$3 * 0.01</f>
        <v>1.2800241629666371</v>
      </c>
      <c r="Z17" s="209">
        <f>INDEX($A$16:$H$17,MATCH($L17,$B$16:$B$17,0),MATCH($M$15,$A$16:$H$16,0))*고양시_Modal_split!P$3 * 0.01</f>
        <v>711.1245349814651</v>
      </c>
      <c r="AA17" s="206">
        <f>INDEX($A$16:$H$17,MATCH($L17,$B$16:$B$17,0),MATCH($AA$15,$A$16:$H$16,0))*고양시_Modal_split!C$3 * 0.01</f>
        <v>15.483437803097024</v>
      </c>
      <c r="AB17" s="207">
        <f>INDEX($A$16:$H$17,MATCH($L17,$B$16:$B$17,0),MATCH($AA$15,$A$16:$H$16,0))*고양시_Modal_split!D$3 * 0.01</f>
        <v>2600.6645709987611</v>
      </c>
      <c r="AC17" s="207">
        <f>INDEX($A$16:$H$17,MATCH($L17,$B$16:$B$17,0),MATCH($AA$15,$A$16:$H$16,0))*고양시_Modal_split!E$3 * 0.01</f>
        <v>314.64557535579314</v>
      </c>
      <c r="AD17" s="207">
        <f>INDEX($A$16:$H$17,MATCH($L17,$B$16:$B$17,0),MATCH($AA$15,$A$16:$H$16,0))*고양시_Modal_split!F$3 * 0.01</f>
        <v>507.08258805142759</v>
      </c>
      <c r="AE17" s="207">
        <f>INDEX($A$16:$H$17,MATCH($L17,$B$16:$B$17,0),MATCH($AA$15,$A$16:$H$16,0))*고양시_Modal_split!G$3 * 0.01</f>
        <v>50.874152781604508</v>
      </c>
      <c r="AF17" s="207">
        <f>INDEX($A$16:$H$17,MATCH($L17,$B$16:$B$17,0),MATCH($AA$15,$A$16:$H$16,0))*고양시_Modal_split!H$3 * 0.01</f>
        <v>0.55297992153917952</v>
      </c>
      <c r="AG17" s="207">
        <f>INDEX($A$16:$H$17,MATCH($L17,$B$16:$B$17,0),MATCH($AA$15,$A$16:$H$16,0))*고양시_Modal_split!I$3 * 0.01</f>
        <v>153.72841818789189</v>
      </c>
      <c r="AH17" s="207">
        <f>INDEX($A$16:$H$17,MATCH($L17,$B$16:$B$17,0),MATCH($AA$15,$A$16:$H$16,0))*고양시_Modal_split!J$3 * 0.01</f>
        <v>1683.2708811652626</v>
      </c>
      <c r="AI17" s="207">
        <f>INDEX($A$16:$H$17,MATCH($L17,$B$16:$B$17,0),MATCH($AA$15,$A$16:$H$16,0))*고양시_Modal_split!K$3 * 0.01</f>
        <v>8.2946988230876926</v>
      </c>
      <c r="AJ17" s="207">
        <f>INDEX($A$16:$H$17,MATCH($L17,$B$16:$B$17,0),MATCH($AA$15,$A$16:$H$16,0))*고양시_Modal_split!L$3 * 0.01</f>
        <v>166.9999363048322</v>
      </c>
      <c r="AK17" s="207">
        <f>INDEX($A$16:$H$17,MATCH($L17,$B$16:$B$17,0),MATCH($AA$15,$A$16:$H$16,0))*고양시_Modal_split!M$3 * 0.01</f>
        <v>12.718538195401127</v>
      </c>
      <c r="AL17" s="207">
        <f>INDEX($A$16:$H$17,MATCH($L17,$B$16:$B$17,0),MATCH($AA$15,$A$16:$H$16,0))*고양시_Modal_split!N$3 * 0.01</f>
        <v>5.5297992153917948</v>
      </c>
      <c r="AM17" s="207">
        <f>INDEX($A$16:$H$17,MATCH($L17,$B$16:$B$17,0),MATCH($AA$15,$A$16:$H$16,0))*고양시_Modal_split!O$3 * 0.01</f>
        <v>9.95363858770523</v>
      </c>
      <c r="AN17" s="207">
        <f>INDEX($A$16:$H$17,MATCH($L17,$B$16:$B$17,0),MATCH($AA$15,$A$16:$H$16,0))*고양시_Modal_split!P$3 * 0.01</f>
        <v>5529.7992153917949</v>
      </c>
      <c r="AO17" s="206">
        <f>INDEX($A$16:$H$17,MATCH($L17,$B$16:$B$17,0),MATCH($AO$15,$A$16:$H$16,0))*고양시_Modal_split!C$3 * 0.01</f>
        <v>0.68630884782835055</v>
      </c>
      <c r="AP17" s="303">
        <f>INDEX($A$16:$H$17,MATCH($L17,$B$16:$B$17,0),MATCH($AO$15,$A$16:$H$16,0))*고양시_Modal_split!D$3 * 0.01</f>
        <v>115.27537540488333</v>
      </c>
      <c r="AQ17" s="303">
        <f>INDEX($A$16:$H$17,MATCH($L17,$B$16:$B$17,0),MATCH($AO$15,$A$16:$H$16,0))*고양시_Modal_split!E$3 * 0.01</f>
        <v>13.946776229083266</v>
      </c>
      <c r="AR17" s="303">
        <f>INDEX($A$16:$H$17,MATCH($L17,$B$16:$B$17,0),MATCH($AO$15,$A$16:$H$16,0))*고양시_Modal_split!F$3 * 0.01</f>
        <v>22.476614766378486</v>
      </c>
      <c r="AS17" s="303">
        <f>INDEX($A$16:$H$17,MATCH($L17,$B$16:$B$17,0),MATCH($AO$15,$A$16:$H$16,0))*고양시_Modal_split!G$3 * 0.01</f>
        <v>2.2550147857217233</v>
      </c>
      <c r="AT17" s="303">
        <f>INDEX($A$16:$H$17,MATCH($L17,$B$16:$B$17,0),MATCH($AO$15,$A$16:$H$16,0))*고양시_Modal_split!H$3 * 0.01</f>
        <v>2.4511030279583956E-2</v>
      </c>
      <c r="AU17" s="303">
        <f>INDEX($A$16:$H$17,MATCH($L17,$B$16:$B$17,0),MATCH($AO$15,$A$16:$H$16,0))*고양시_Modal_split!I$3 * 0.01</f>
        <v>6.8140664177243382</v>
      </c>
      <c r="AV17" s="303">
        <f>INDEX($A$16:$H$17,MATCH($L17,$B$16:$B$17,0),MATCH($AO$15,$A$16:$H$16,0))*고양시_Modal_split!J$3 * 0.01</f>
        <v>74.611576171053557</v>
      </c>
      <c r="AW17" s="303">
        <f>INDEX($A$16:$H$17,MATCH($L17,$B$16:$B$17,0),MATCH($AO$15,$A$16:$H$16,0))*고양시_Modal_split!K$3 * 0.01</f>
        <v>0.36766545419375923</v>
      </c>
      <c r="AX17" s="303">
        <f>INDEX($A$16:$H$17,MATCH($L17,$B$16:$B$17,0),MATCH($AO$15,$A$16:$H$16,0))*고양시_Modal_split!L$3 * 0.01</f>
        <v>7.4023311444343545</v>
      </c>
      <c r="AY17" s="303">
        <f>INDEX($A$16:$H$17,MATCH($L17,$B$16:$B$17,0),MATCH($AO$15,$A$16:$H$16,0))*고양시_Modal_split!M$3 * 0.01</f>
        <v>0.56375369643043083</v>
      </c>
      <c r="AZ17" s="303">
        <f>INDEX($A$16:$H$17,MATCH($L17,$B$16:$B$17,0),MATCH($AO$15,$A$16:$H$16,0))*고양시_Modal_split!N$3 * 0.01</f>
        <v>0.24511030279583954</v>
      </c>
      <c r="BA17" s="207">
        <f>INDEX($A$16:$H$17,MATCH($L17,$B$16:$B$17,0),MATCH($AO$15,$A$16:$H$16,0))*고양시_Modal_split!O$3 * 0.01</f>
        <v>0.4411985450325111</v>
      </c>
      <c r="BB17" s="207">
        <f>INDEX($A$16:$H$17,MATCH($L17,$B$16:$B$17,0),MATCH($AO$15,$A$16:$H$16,0))*고양시_Modal_split!P$3 * 0.01</f>
        <v>245.11030279583952</v>
      </c>
      <c r="BC17" s="207">
        <f>INDEX($A$16:$H$17,MATCH($L17,$B$16:$B$17,0),MATCH($BC$15,$A$16:$H$16,0))*고양시_Modal_split!C$3 * 0.01</f>
        <v>1.8611765364836693E-3</v>
      </c>
      <c r="BD17" s="207">
        <f>INDEX($A$16:$H$17,MATCH($L17,$B$16:$B$17,0),MATCH($BC$15,$A$16:$H$16,0))*고양시_Modal_split!D$3 * 0.01</f>
        <v>0.31261118753866779</v>
      </c>
      <c r="BE17" s="207">
        <f>INDEX($A$16:$H$17,MATCH($L17,$B$16:$B$17,0),MATCH($BC$15,$A$16:$H$16,0))*고양시_Modal_split!E$3 * 0.01</f>
        <v>3.7821766044971707E-2</v>
      </c>
      <c r="BF17" s="207">
        <f>INDEX($A$16:$H$17,MATCH($L17,$B$16:$B$17,0),MATCH($BC$15,$A$16:$H$16,0))*고양시_Modal_split!F$3 * 0.01</f>
        <v>6.095353156984018E-2</v>
      </c>
      <c r="BG17" s="207">
        <f>INDEX($A$16:$H$17,MATCH($L17,$B$16:$B$17,0),MATCH($BC$15,$A$16:$H$16,0))*고양시_Modal_split!G$3 * 0.01</f>
        <v>6.1152943341606283E-3</v>
      </c>
      <c r="BH17" s="207">
        <f>INDEX($A$16:$H$17,MATCH($L17,$B$16:$B$17,0),MATCH($BC$15,$A$16:$H$16,0))*고양시_Modal_split!H$3 * 0.01</f>
        <v>6.6470590588702487E-5</v>
      </c>
      <c r="BI17" s="207">
        <f>INDEX($A$16:$H$17,MATCH($L17,$B$16:$B$17,0),MATCH($BC$15,$A$16:$H$16,0))*고양시_Modal_split!I$3 * 0.01</f>
        <v>1.8478824183659287E-2</v>
      </c>
      <c r="BJ17" s="207">
        <f>INDEX($A$16:$H$17,MATCH($L17,$B$16:$B$17,0),MATCH($BC$15,$A$16:$H$16,0))*고양시_Modal_split!J$3 * 0.01</f>
        <v>0.20233647775201036</v>
      </c>
      <c r="BK17" s="207">
        <f>INDEX($A$16:$H$17,MATCH($L17,$B$16:$B$17,0),MATCH($BC$15,$A$16:$H$16,0))*고양시_Modal_split!K$3 * 0.01</f>
        <v>9.9705885883053717E-4</v>
      </c>
      <c r="BL17" s="207">
        <f>INDEX($A$16:$H$17,MATCH($L17,$B$16:$B$17,0),MATCH($BC$15,$A$16:$H$16,0))*고양시_Modal_split!L$3 * 0.01</f>
        <v>2.0074118357788148E-2</v>
      </c>
      <c r="BM17" s="207">
        <f>INDEX($A$16:$H$17,MATCH($L17,$B$16:$B$17,0),MATCH($BC$15,$A$16:$H$16,0))*고양시_Modal_split!M$3 * 0.01</f>
        <v>1.5288235835401571E-3</v>
      </c>
      <c r="BN17" s="207">
        <f>INDEX($A$16:$H$17,MATCH($L17,$B$16:$B$17,0),MATCH($BC$15,$A$16:$H$16,0))*고양시_Modal_split!N$3 * 0.01</f>
        <v>6.6470590588702482E-4</v>
      </c>
      <c r="BO17" s="207">
        <f>INDEX($A$16:$H$17,MATCH($L17,$B$16:$B$17,0),MATCH($BC$15,$A$16:$H$16,0))*고양시_Modal_split!O$3 * 0.01</f>
        <v>1.1964706305966446E-3</v>
      </c>
      <c r="BP17" s="207">
        <f>INDEX($A$16:$H$17,MATCH($L17,$B$16:$B$17,0),MATCH($BC$15,$A$16:$H$16,0))*고양시_Modal_split!P$3 * 0.01</f>
        <v>0.66470590588702483</v>
      </c>
      <c r="BQ17" s="207">
        <f>INDEX($A$16:$H$17,MATCH($L17,$B$16:$B$17,0),MATCH($BQ$15,$A$16:$H$16,0))*고양시_Modal_split!C$3 * 0.01</f>
        <v>5.2733335200370367E-3</v>
      </c>
      <c r="BR17" s="207">
        <f>INDEX($A$16:$H$17,MATCH($L17,$B$16:$B$17,0),MATCH($BQ$15,$A$16:$H$16,0))*고양시_Modal_split!D$3 * 0.01</f>
        <v>0.88573169802622087</v>
      </c>
      <c r="BS17" s="207">
        <f>INDEX($A$16:$H$17,MATCH($L17,$B$16:$B$17,0),MATCH($BQ$15,$A$16:$H$16,0))*고양시_Modal_split!E$3 * 0.01</f>
        <v>0.10716167046075263</v>
      </c>
      <c r="BT17" s="207">
        <f>INDEX($A$16:$H$17,MATCH($L17,$B$16:$B$17,0),MATCH($BQ$15,$A$16:$H$16,0))*고양시_Modal_split!F$3 * 0.01</f>
        <v>0.17270167278121296</v>
      </c>
      <c r="BU17" s="207">
        <f>INDEX($A$16:$H$17,MATCH($L17,$B$16:$B$17,0),MATCH($BQ$15,$A$16:$H$16,0))*고양시_Modal_split!G$3 * 0.01</f>
        <v>1.7326667280121694E-2</v>
      </c>
      <c r="BV17" s="207">
        <f>INDEX($A$16:$H$17,MATCH($L17,$B$16:$B$17,0),MATCH($BQ$15,$A$16:$H$16,0))*고양시_Modal_split!H$3 * 0.01</f>
        <v>1.8833334000132278E-4</v>
      </c>
      <c r="BW17" s="207">
        <f>INDEX($A$16:$H$17,MATCH($L17,$B$16:$B$17,0),MATCH($BQ$15,$A$16:$H$16,0))*고양시_Modal_split!I$3 * 0.01</f>
        <v>5.2356668520367723E-2</v>
      </c>
      <c r="BX17" s="207">
        <f>INDEX($A$16:$H$17,MATCH($L17,$B$16:$B$17,0),MATCH($BQ$15,$A$16:$H$16,0))*고양시_Modal_split!J$3 * 0.01</f>
        <v>0.57328668696402652</v>
      </c>
      <c r="BY17" s="207">
        <f>INDEX($A$16:$H$17,MATCH($L17,$B$16:$B$17,0),MATCH($BQ$15,$A$16:$H$16,0))*고양시_Modal_split!K$3 * 0.01</f>
        <v>2.8250001000198412E-3</v>
      </c>
      <c r="BZ17" s="207">
        <f>INDEX($A$16:$H$17,MATCH($L17,$B$16:$B$17,0),MATCH($BQ$15,$A$16:$H$16,0))*고양시_Modal_split!L$3 * 0.01</f>
        <v>5.6876668680399478E-2</v>
      </c>
      <c r="CA17" s="207">
        <f>INDEX($A$16:$H$17,MATCH($L17,$B$16:$B$17,0),MATCH($BQ$15,$A$16:$H$16,0))*고양시_Modal_split!M$3 * 0.01</f>
        <v>4.3316668200304234E-3</v>
      </c>
      <c r="CB17" s="207">
        <f>INDEX($A$16:$H$17,MATCH($L17,$B$16:$B$17,0),MATCH($BQ$15,$A$16:$H$16,0))*고양시_Modal_split!N$3 * 0.01</f>
        <v>1.8833334000132277E-3</v>
      </c>
      <c r="CC17" s="207">
        <f>INDEX($A$16:$H$17,MATCH($L17,$B$16:$B$17,0),MATCH($BQ$15,$A$16:$H$16,0))*고양시_Modal_split!O$3 * 0.01</f>
        <v>3.3900001200238097E-3</v>
      </c>
      <c r="CD17" s="207">
        <f>INDEX($A$16:$H$17,MATCH($L17,$B$16:$B$17,0),MATCH($BQ$15,$A$16:$H$16,0))*고양시_Modal_split!P$3 * 0.01</f>
        <v>1.8833334000132278</v>
      </c>
      <c r="CE17" s="304">
        <f>M17+AA17+AO17+BC17+BQ17</f>
        <v>18.168029858929998</v>
      </c>
      <c r="CF17" s="304">
        <f t="shared" ref="CF17:CR17" si="1">N17+AB17+AP17+BD17+BR17</f>
        <v>3051.580158090992</v>
      </c>
      <c r="CG17" s="304">
        <f t="shared" si="1"/>
        <v>369.20032106182748</v>
      </c>
      <c r="CH17" s="304">
        <f t="shared" si="1"/>
        <v>595.00297787995737</v>
      </c>
      <c r="CI17" s="304">
        <f t="shared" si="1"/>
        <v>59.694955250769993</v>
      </c>
      <c r="CJ17" s="304">
        <f t="shared" si="1"/>
        <v>0.64885820924750015</v>
      </c>
      <c r="CK17" s="304">
        <f t="shared" si="1"/>
        <v>180.38258217080499</v>
      </c>
      <c r="CL17" s="304">
        <f t="shared" si="1"/>
        <v>1975.1243889493901</v>
      </c>
      <c r="CM17" s="304">
        <f t="shared" si="1"/>
        <v>9.7328731387124989</v>
      </c>
      <c r="CN17" s="304">
        <f t="shared" si="1"/>
        <v>195.95517919274499</v>
      </c>
      <c r="CO17" s="304">
        <f t="shared" si="1"/>
        <v>14.923738812692498</v>
      </c>
      <c r="CP17" s="304">
        <f t="shared" si="1"/>
        <v>6.4885820924749993</v>
      </c>
      <c r="CQ17" s="304">
        <f t="shared" si="1"/>
        <v>11.679447766454999</v>
      </c>
      <c r="CR17" s="304">
        <f t="shared" si="1"/>
        <v>6488.5820924749996</v>
      </c>
      <c r="CS17" s="305">
        <f>H17-CR17</f>
        <v>0</v>
      </c>
      <c r="CV17" s="265"/>
      <c r="CW17" s="265" t="s">
        <v>744</v>
      </c>
      <c r="CX17" s="267">
        <f>INDEX($M$15:$Z$17,MATCH($CW17,$L$15:$L$17,0),MATCH(CX$16,$M$16:$Z$16,0))/INDEX(고양시_재차인원!$D$4:$H$35,MATCH("고양시",고양시_재차인원!$B$4:$B$35,0),MATCH($CX$15,고양시_재차인원!$D$4:$H$4,0))</f>
        <v>298.60881143016343</v>
      </c>
      <c r="CY17" s="267">
        <f>INDEX($M$15:$Z$17,MATCH($CW17,$L$15:$L$17,0),MATCH(CY$16,$M$16:$Z$16,0))/INDEX(고양시_재차인원!$K$4:$O$20,MATCH("경기도",고양시_재차인원!$K$4:$K$20,0),MATCH(CY$16,고양시_재차인원!$K$4:$O$4,0))</f>
        <v>2.470040065930758E-3</v>
      </c>
      <c r="CZ17" s="267">
        <f>INDEX($M$15:$Z$17,MATCH($CW17,$L$15:$L$17,0),MATCH(CZ$16,$M$16:$Z$16,0))/INDEX(고양시_재차인원!$K$4:$O$20,MATCH("경기도",고양시_재차인원!$K$4:$K$20,0),MATCH(CZ$16,고양시_재차인원!$K$4:$O$4,0))</f>
        <v>0.6866711383287506</v>
      </c>
      <c r="DA17" s="267">
        <f>INDEX($M$15:$Z$17,MATCH($CW17,$L$15:$L$17,0),MATCH(DA$16,$M$16:$Z$16,0))/INDEX(고양시_재차인원!$D$4:$H$35,MATCH("고양시",고양시_재차인원!$B$4:$B$35,0),MATCH($CX$15,고양시_재차인원!$D$4:$H$4,0))</f>
        <v>19.174965139678786</v>
      </c>
      <c r="DB17" s="267">
        <f>INDEX($AA$15:$AN$17,MATCH($CW17,$L$15:$L$17,0),MATCH(DB$16,$AA$16:$AN$16,0))/INDEX(고양시_재차인원!$D$4:$H$35,MATCH("고양시",고양시_재차인원!$B$4:$B$35,0),MATCH($DB$15,고양시_재차인원!$D$4:$H$4,0))</f>
        <v>1844.4429581551499</v>
      </c>
      <c r="DC17" s="267">
        <f>INDEX($AA$15:$AN$17,MATCH($CW17,$L$15:$L$17,0),MATCH(DC$16,$AA$16:$AN$16,0))/INDEX(고양시_재차인원!$K$4:$O$20,MATCH("경기도",고양시_재차인원!$K$4:$K$20,0),MATCH(DC$16,고양시_재차인원!$K$4:$O$4,0))</f>
        <v>1.9207360942659936E-2</v>
      </c>
      <c r="DD17" s="267">
        <f>INDEX($AA$15:$AN$17,MATCH($CW17,$L$15:$L$17,0),MATCH(DD$16,$AA$16:$AN$16,0))/INDEX(고양시_재차인원!$K$4:$O$20,MATCH("경기도",고양시_재차인원!$K$4:$K$20,0),MATCH(DD$16,고양시_재차인원!$K$4:$O$4,0))</f>
        <v>5.3396463420594618</v>
      </c>
      <c r="DE17" s="267">
        <f>INDEX($AA$15:$AN$17,MATCH($CW17,$L$15:$L$17,0),MATCH(DE$16,$AA$16:$AN$16,0))/INDEX(고양시_재차인원!$D$4:$H$35,MATCH("고양시",고양시_재차인원!$B$4:$B$35,0),MATCH($DB$15,고양시_재차인원!$D$4:$H$4,0))</f>
        <v>118.43967113817888</v>
      </c>
      <c r="DF17" s="267">
        <f>INDEX($AO$15:$BB$17,MATCH($CW17,$L$15:$L$17,0),MATCH(DF$16,$AO$16:$BB$16,0))/INDEX(고양시_재차인원!$D$4:$H$35,MATCH("고양시",고양시_재차인원!$B$4:$B$35,0),MATCH($DF$15,고양시_재차인원!$D$4:$H$4,0))</f>
        <v>88.673365696064096</v>
      </c>
      <c r="DG17" s="267">
        <f>INDEX($AO$15:$BB$17,MATCH($CW17,$L$15:$L$17,0),MATCH(DG$16,$AO$16:$BB$16,0))/INDEX(고양시_재차인원!$K$4:$O$20,MATCH("경기도",고양시_재차인원!$K$4:$K$20,0),MATCH(DG$16,고양시_재차인원!$K$4:$O$4,0))</f>
        <v>8.5137305590774425E-4</v>
      </c>
      <c r="DH17" s="267">
        <f>INDEX($AO$15:$BB$17,MATCH($CW17,$L$15:$L$17,0),MATCH(DH$16,$AO$16:$BB$16,0))/INDEX(고양시_재차인원!$K$4:$O$20,MATCH("경기도",고양시_재차인원!$K$4:$K$20,0),MATCH(DH$16,고양시_재차인원!$K$4:$O$4,0))</f>
        <v>0.23668170954235285</v>
      </c>
      <c r="DI17" s="267">
        <f>INDEX($AO$15:$BB$17,MATCH($CW17,$L$15:$L$17,0),MATCH(DI$16,$AO$16:$BB$16,0))/INDEX(고양시_재차인원!$D$4:$H$35,MATCH("고양시",고양시_재차인원!$B$4:$B$35,0),MATCH($DF$15,고양시_재차인원!$D$4:$H$4,0))</f>
        <v>5.6941008803341182</v>
      </c>
      <c r="DJ17" s="267">
        <f>INDEX($BC$15:$BP$17,MATCH($CW17,$L$15:$L$17,0),MATCH(DJ$16,$BC$16:$BP$16,0))/INDEX(고양시_재차인원!$D$4:$H$35,MATCH("고양시",고양시_재차인원!$B$4:$B$35,0),MATCH($DJ$15,고양시_재차인원!$D$4:$H$4,0))</f>
        <v>0.22986116730784395</v>
      </c>
      <c r="DK17" s="267">
        <f>INDEX($BC$15:$BP$17,MATCH($CW17,$L$15:$L$17,0),MATCH(DK$16,$BC$16:$BP$16,0))/INDEX(고양시_재차인원!$K$4:$O$20,MATCH("경기도",고양시_재차인원!$K$4:$K$20,0),MATCH(DK$16,고양시_재차인원!$K$4:$O$4,0))</f>
        <v>2.3088082872074501E-6</v>
      </c>
      <c r="DL17" s="267">
        <f>INDEX($BC$15:$BP$17,MATCH($CW17,$L$15:$L$17,0),MATCH(DL$16,$BC$16:$BP$16,0))/INDEX(고양시_재차인원!$K$4:$O$20,MATCH("경기도",고양시_재차인원!$K$4:$K$20,0),MATCH(DL$16,고양시_재차인원!$K$4:$O$4,0))</f>
        <v>6.4184870384367094E-4</v>
      </c>
      <c r="DM17" s="267">
        <f>INDEX($BC$15:$BP$17,MATCH($CW17,$L$15:$L$17,0),MATCH(DM$16,$BC$16:$BP$16,0))/INDEX(고양시_재차인원!$D$4:$H$35,MATCH("고양시",고양시_재차인원!$B$4:$B$35,0),MATCH($DJ$15,고양시_재차인원!$D$4:$H$4,0))</f>
        <v>1.4760381145432461E-2</v>
      </c>
      <c r="DN17" s="267">
        <f>INDEX($BQ$15:$CD$17,MATCH($CW17,$L$15:$L$17,0),MATCH(DN$16,$BQ$16:$CD$16,0))/INDEX(고양시_재차인원!$D$4:$H$35,MATCH("고양시",고양시_재차인원!$B$4:$B$35,0),MATCH($DN$15,고양시_재차인원!$D$4:$H$4,0))</f>
        <v>0.70296166510017533</v>
      </c>
      <c r="DO17" s="267">
        <f>INDEX($BQ$15:$CD$17,MATCH($CW17,$L$15:$L$17,0),MATCH(DO$16,$BQ$16:$CD$16,0))/INDEX(고양시_재차인원!$K$4:$O$20,MATCH("경기도",고양시_재차인원!$K$4:$K$20,0),MATCH(DO$16,고양시_재차인원!$K$4:$O$4,0))</f>
        <v>6.541623480421076E-6</v>
      </c>
      <c r="DP17" s="267">
        <f>INDEX($BQ$15:$CD$17,MATCH($CW17,$L$15:$L$17,0),MATCH(DP$16,$BQ$16:$CD$16,0))/INDEX(고양시_재차인원!$K$4:$O$20,MATCH("경기도",고양시_재차인원!$K$4:$K$20,0),MATCH(DP$16,고양시_재차인원!$K$4:$O$4,0))</f>
        <v>1.8185713275570589E-3</v>
      </c>
      <c r="DQ17" s="267">
        <f>INDEX($BQ$15:$CD$17,MATCH($CW17,$L$15:$L$17,0),MATCH(DQ$16,$BQ$16:$CD$16,0))/INDEX(고양시_재차인원!$D$4:$H$35,MATCH("고양시",고양시_재차인원!$B$4:$B$35,0),MATCH($DN$15,고양시_재차인원!$D$4:$H$4,0))</f>
        <v>4.5140213238412281E-2</v>
      </c>
      <c r="DR17" s="270">
        <f>CX17+DB17+DF17+DJ17+DN17</f>
        <v>2232.6579581137853</v>
      </c>
      <c r="DS17" s="270">
        <f t="shared" ref="DS17:DU17" si="2">CY17+DC17+DG17+DK17+DO17</f>
        <v>2.2537624496266066E-2</v>
      </c>
      <c r="DT17" s="270">
        <f t="shared" si="2"/>
        <v>6.2654596099619662</v>
      </c>
      <c r="DU17" s="270">
        <f t="shared" si="2"/>
        <v>143.36863775257564</v>
      </c>
      <c r="DW17" s="278"/>
      <c r="DX17" s="278" t="s">
        <v>744</v>
      </c>
      <c r="DY17" s="281">
        <f>DR17+DU17</f>
        <v>2376.0265958663608</v>
      </c>
      <c r="DZ17" s="281">
        <f>DS17+DT17</f>
        <v>6.2879972344582322</v>
      </c>
      <c r="EB17" s="278"/>
      <c r="EC17" s="278" t="s">
        <v>744</v>
      </c>
      <c r="ED17" s="281">
        <f>DY17</f>
        <v>2376.0265958663608</v>
      </c>
      <c r="EE17" s="281">
        <f t="shared" ref="EE17" si="3">DZ17</f>
        <v>6.2879972344582322</v>
      </c>
      <c r="EL17" s="420" t="s">
        <v>729</v>
      </c>
      <c r="EM17" s="420"/>
      <c r="EN17" s="420"/>
      <c r="EO17" s="420"/>
      <c r="EP17" s="421">
        <v>849301</v>
      </c>
      <c r="EQ17" s="422">
        <f>ED24</f>
        <v>2376.0265958663608</v>
      </c>
      <c r="ER17" s="422">
        <f>EE24</f>
        <v>6.2879972344582322</v>
      </c>
      <c r="ES17">
        <v>0</v>
      </c>
      <c r="EV17" s="306" t="s">
        <v>729</v>
      </c>
      <c r="EW17" s="306"/>
      <c r="EX17" s="306"/>
      <c r="EY17" s="306"/>
      <c r="EZ17" s="307">
        <v>849301</v>
      </c>
      <c r="FA17" s="308">
        <f>EQ17*$EU$10</f>
        <v>2376.0265958663608</v>
      </c>
      <c r="FB17" s="308">
        <f t="shared" ref="FB17" si="4">ER17*$EU$10</f>
        <v>6.2879972344582322</v>
      </c>
    </row>
    <row r="18" spans="1:158">
      <c r="A18" s="205"/>
      <c r="B18" s="205"/>
      <c r="C18" s="201"/>
      <c r="D18" s="201"/>
      <c r="E18" s="201"/>
      <c r="F18" s="201"/>
      <c r="G18" s="201"/>
      <c r="H18" s="201"/>
      <c r="J18" s="230"/>
      <c r="K18" s="206"/>
      <c r="L18" s="206"/>
      <c r="M18" s="206"/>
      <c r="N18" s="206"/>
      <c r="O18" s="206"/>
      <c r="P18" s="206"/>
      <c r="Q18" s="206"/>
      <c r="R18" s="206"/>
      <c r="S18" s="206"/>
      <c r="T18" s="206"/>
      <c r="U18" s="206"/>
      <c r="V18" s="206"/>
      <c r="W18" s="206"/>
      <c r="X18" s="206"/>
      <c r="Y18" s="206"/>
      <c r="Z18" s="209"/>
      <c r="AA18" s="207"/>
      <c r="AB18" s="207"/>
      <c r="AC18" s="207"/>
      <c r="AD18" s="207"/>
      <c r="AE18" s="207"/>
      <c r="AF18" s="207"/>
      <c r="AG18" s="207"/>
      <c r="AH18" s="207"/>
      <c r="AI18" s="207"/>
      <c r="AJ18" s="207"/>
      <c r="AK18" s="207"/>
      <c r="AL18" s="207"/>
      <c r="AM18" s="207"/>
      <c r="AN18" s="207"/>
      <c r="AO18" s="303"/>
      <c r="AP18" s="303"/>
      <c r="AQ18" s="303"/>
      <c r="AR18" s="303"/>
      <c r="AS18" s="303"/>
      <c r="AT18" s="303"/>
      <c r="AU18" s="303"/>
      <c r="AV18" s="303"/>
      <c r="AW18" s="303"/>
      <c r="AX18" s="303"/>
      <c r="AY18" s="303"/>
      <c r="AZ18" s="303"/>
      <c r="BA18" s="207"/>
      <c r="BB18" s="207"/>
      <c r="BC18" s="207"/>
      <c r="BD18" s="207"/>
      <c r="BE18" s="207"/>
      <c r="BF18" s="207"/>
      <c r="BG18" s="207"/>
      <c r="BH18" s="207"/>
      <c r="BI18" s="207"/>
      <c r="BJ18" s="207"/>
      <c r="BK18" s="207"/>
      <c r="BL18" s="207"/>
      <c r="BM18" s="207"/>
      <c r="BN18" s="207"/>
      <c r="BO18" s="207"/>
      <c r="BP18" s="207"/>
      <c r="BQ18" s="207"/>
      <c r="BR18" s="207"/>
      <c r="BS18" s="207"/>
      <c r="BT18" s="207"/>
      <c r="BU18" s="207"/>
      <c r="BV18" s="207"/>
      <c r="BW18" s="207"/>
      <c r="BX18" s="207"/>
      <c r="BY18" s="207"/>
      <c r="BZ18" s="207"/>
      <c r="CA18" s="207"/>
      <c r="CB18" s="207"/>
      <c r="CC18" s="207"/>
      <c r="CD18" s="207"/>
      <c r="CE18" s="304"/>
      <c r="CF18" s="304"/>
      <c r="CG18" s="304"/>
      <c r="CH18" s="304"/>
      <c r="CI18" s="304"/>
      <c r="CJ18" s="304"/>
      <c r="CK18" s="304"/>
      <c r="CL18" s="304"/>
      <c r="CM18" s="304"/>
      <c r="CN18" s="304"/>
      <c r="CO18" s="304"/>
      <c r="CP18" s="304"/>
      <c r="CQ18" s="304"/>
      <c r="CR18" s="304"/>
      <c r="CS18" s="305"/>
      <c r="CV18" s="265"/>
      <c r="CW18" s="265"/>
      <c r="CX18" s="267"/>
      <c r="CY18" s="267"/>
      <c r="CZ18" s="267"/>
      <c r="DA18" s="267"/>
      <c r="DB18" s="267"/>
      <c r="DC18" s="267"/>
      <c r="DD18" s="267"/>
      <c r="DE18" s="267"/>
      <c r="DF18" s="267"/>
      <c r="DG18" s="267"/>
      <c r="DH18" s="267"/>
      <c r="DI18" s="267"/>
      <c r="DJ18" s="267"/>
      <c r="DK18" s="267"/>
      <c r="DL18" s="267"/>
      <c r="DM18" s="267"/>
      <c r="DN18" s="267"/>
      <c r="DO18" s="267"/>
      <c r="DP18" s="267"/>
      <c r="DQ18" s="267"/>
      <c r="DR18" s="270"/>
      <c r="DS18" s="270"/>
      <c r="DT18" s="270"/>
      <c r="DU18" s="270"/>
      <c r="DW18" s="278"/>
      <c r="DX18" s="278"/>
      <c r="DY18" s="281"/>
      <c r="DZ18" s="281"/>
      <c r="EB18" s="278"/>
      <c r="EC18" s="278"/>
      <c r="ED18" s="281"/>
      <c r="EE18" s="281"/>
    </row>
    <row r="19" spans="1:158">
      <c r="A19" s="205"/>
      <c r="B19" s="205"/>
      <c r="C19" s="201"/>
      <c r="D19" s="201"/>
      <c r="E19" s="201"/>
      <c r="F19" s="201"/>
      <c r="G19" s="201"/>
      <c r="H19" s="201"/>
      <c r="J19" s="230"/>
      <c r="K19" s="206"/>
      <c r="L19" s="206"/>
      <c r="M19" s="206"/>
      <c r="N19" s="206"/>
      <c r="O19" s="206"/>
      <c r="P19" s="206"/>
      <c r="Q19" s="206"/>
      <c r="R19" s="206"/>
      <c r="S19" s="206"/>
      <c r="T19" s="206"/>
      <c r="U19" s="206"/>
      <c r="V19" s="206"/>
      <c r="W19" s="206"/>
      <c r="X19" s="206"/>
      <c r="Y19" s="206"/>
      <c r="Z19" s="209"/>
      <c r="AA19" s="207"/>
      <c r="AB19" s="207"/>
      <c r="AC19" s="207"/>
      <c r="AD19" s="207"/>
      <c r="AE19" s="207"/>
      <c r="AF19" s="207"/>
      <c r="AG19" s="207"/>
      <c r="AH19" s="207"/>
      <c r="AI19" s="207"/>
      <c r="AJ19" s="207"/>
      <c r="AK19" s="207"/>
      <c r="AL19" s="207"/>
      <c r="AM19" s="207"/>
      <c r="AN19" s="207"/>
      <c r="AO19" s="303"/>
      <c r="AP19" s="303"/>
      <c r="AQ19" s="303"/>
      <c r="AR19" s="303"/>
      <c r="AS19" s="303"/>
      <c r="AT19" s="303"/>
      <c r="AU19" s="303"/>
      <c r="AV19" s="303"/>
      <c r="AW19" s="303"/>
      <c r="AX19" s="303"/>
      <c r="AY19" s="303"/>
      <c r="AZ19" s="303"/>
      <c r="BA19" s="207"/>
      <c r="BB19" s="207"/>
      <c r="BC19" s="207"/>
      <c r="BD19" s="207"/>
      <c r="BE19" s="207"/>
      <c r="BF19" s="207"/>
      <c r="BG19" s="207"/>
      <c r="BH19" s="207"/>
      <c r="BI19" s="207"/>
      <c r="BJ19" s="207"/>
      <c r="BK19" s="207"/>
      <c r="BL19" s="207"/>
      <c r="BM19" s="207"/>
      <c r="BN19" s="207"/>
      <c r="BO19" s="207"/>
      <c r="BP19" s="207"/>
      <c r="BQ19" s="207"/>
      <c r="BR19" s="207"/>
      <c r="BS19" s="207"/>
      <c r="BT19" s="207"/>
      <c r="BU19" s="207"/>
      <c r="BV19" s="207"/>
      <c r="BW19" s="207"/>
      <c r="BX19" s="207"/>
      <c r="BY19" s="207"/>
      <c r="BZ19" s="207"/>
      <c r="CA19" s="207"/>
      <c r="CB19" s="207"/>
      <c r="CC19" s="207"/>
      <c r="CD19" s="207"/>
      <c r="CE19" s="304"/>
      <c r="CF19" s="304"/>
      <c r="CG19" s="304"/>
      <c r="CH19" s="304"/>
      <c r="CI19" s="304"/>
      <c r="CJ19" s="304"/>
      <c r="CK19" s="304"/>
      <c r="CL19" s="304"/>
      <c r="CM19" s="304"/>
      <c r="CN19" s="304"/>
      <c r="CO19" s="304"/>
      <c r="CP19" s="304"/>
      <c r="CQ19" s="304"/>
      <c r="CR19" s="304"/>
      <c r="CS19" s="305"/>
      <c r="CV19" s="265"/>
      <c r="CW19" s="265"/>
      <c r="CX19" s="267"/>
      <c r="CY19" s="267"/>
      <c r="CZ19" s="267"/>
      <c r="DA19" s="267"/>
      <c r="DB19" s="267"/>
      <c r="DC19" s="267"/>
      <c r="DD19" s="267"/>
      <c r="DE19" s="267"/>
      <c r="DF19" s="267"/>
      <c r="DG19" s="267"/>
      <c r="DH19" s="267"/>
      <c r="DI19" s="267"/>
      <c r="DJ19" s="267"/>
      <c r="DK19" s="267"/>
      <c r="DL19" s="267"/>
      <c r="DM19" s="267"/>
      <c r="DN19" s="267"/>
      <c r="DO19" s="267"/>
      <c r="DP19" s="267"/>
      <c r="DQ19" s="267"/>
      <c r="DR19" s="270"/>
      <c r="DS19" s="270"/>
      <c r="DT19" s="270"/>
      <c r="DU19" s="270"/>
      <c r="DW19" s="278"/>
      <c r="DX19" s="278"/>
      <c r="DY19" s="281"/>
      <c r="DZ19" s="281"/>
      <c r="EB19" s="278"/>
      <c r="EC19" s="278"/>
      <c r="ED19" s="281"/>
      <c r="EE19" s="281"/>
    </row>
    <row r="20" spans="1:158">
      <c r="A20" s="205"/>
      <c r="B20" s="205"/>
      <c r="C20" s="201"/>
      <c r="D20" s="201"/>
      <c r="E20" s="201"/>
      <c r="F20" s="201"/>
      <c r="G20" s="201"/>
      <c r="H20" s="201"/>
      <c r="J20" s="230"/>
      <c r="K20" s="206"/>
      <c r="L20" s="206"/>
      <c r="M20" s="206"/>
      <c r="N20" s="206"/>
      <c r="O20" s="206"/>
      <c r="P20" s="206"/>
      <c r="Q20" s="206"/>
      <c r="R20" s="206"/>
      <c r="S20" s="206"/>
      <c r="T20" s="206"/>
      <c r="U20" s="206"/>
      <c r="V20" s="206"/>
      <c r="W20" s="206"/>
      <c r="X20" s="206"/>
      <c r="Y20" s="206"/>
      <c r="Z20" s="209"/>
      <c r="AA20" s="207"/>
      <c r="AB20" s="207"/>
      <c r="AC20" s="207"/>
      <c r="AD20" s="207"/>
      <c r="AE20" s="207"/>
      <c r="AF20" s="207"/>
      <c r="AG20" s="207"/>
      <c r="AH20" s="207"/>
      <c r="AI20" s="207"/>
      <c r="AJ20" s="207"/>
      <c r="AK20" s="207"/>
      <c r="AL20" s="207"/>
      <c r="AM20" s="207"/>
      <c r="AN20" s="207"/>
      <c r="AO20" s="303"/>
      <c r="AP20" s="303"/>
      <c r="AQ20" s="303"/>
      <c r="AR20" s="303"/>
      <c r="AS20" s="303"/>
      <c r="AT20" s="303"/>
      <c r="AU20" s="303"/>
      <c r="AV20" s="303"/>
      <c r="AW20" s="303"/>
      <c r="AX20" s="303"/>
      <c r="AY20" s="303"/>
      <c r="AZ20" s="303"/>
      <c r="BA20" s="207"/>
      <c r="BB20" s="207"/>
      <c r="BC20" s="207"/>
      <c r="BD20" s="207"/>
      <c r="BE20" s="207"/>
      <c r="BF20" s="207"/>
      <c r="BG20" s="207"/>
      <c r="BH20" s="207"/>
      <c r="BI20" s="207"/>
      <c r="BJ20" s="207"/>
      <c r="BK20" s="207"/>
      <c r="BL20" s="207"/>
      <c r="BM20" s="207"/>
      <c r="BN20" s="207"/>
      <c r="BO20" s="207"/>
      <c r="BP20" s="207"/>
      <c r="BQ20" s="207"/>
      <c r="BR20" s="207"/>
      <c r="BS20" s="207"/>
      <c r="BT20" s="207"/>
      <c r="BU20" s="207"/>
      <c r="BV20" s="207"/>
      <c r="BW20" s="207"/>
      <c r="BX20" s="207"/>
      <c r="BY20" s="207"/>
      <c r="BZ20" s="207"/>
      <c r="CA20" s="207"/>
      <c r="CB20" s="207"/>
      <c r="CC20" s="207"/>
      <c r="CD20" s="207"/>
      <c r="CE20" s="304"/>
      <c r="CF20" s="304"/>
      <c r="CG20" s="304"/>
      <c r="CH20" s="304"/>
      <c r="CI20" s="304"/>
      <c r="CJ20" s="304"/>
      <c r="CK20" s="304"/>
      <c r="CL20" s="304"/>
      <c r="CM20" s="304"/>
      <c r="CN20" s="304"/>
      <c r="CO20" s="304"/>
      <c r="CP20" s="304"/>
      <c r="CQ20" s="304"/>
      <c r="CR20" s="304"/>
      <c r="CS20" s="305"/>
      <c r="CV20" s="265"/>
      <c r="CW20" s="265"/>
      <c r="CX20" s="267"/>
      <c r="CY20" s="267"/>
      <c r="CZ20" s="267"/>
      <c r="DA20" s="267"/>
      <c r="DB20" s="267"/>
      <c r="DC20" s="267"/>
      <c r="DD20" s="267"/>
      <c r="DE20" s="267"/>
      <c r="DF20" s="267"/>
      <c r="DG20" s="267"/>
      <c r="DH20" s="267"/>
      <c r="DI20" s="267"/>
      <c r="DJ20" s="267"/>
      <c r="DK20" s="267"/>
      <c r="DL20" s="267"/>
      <c r="DM20" s="267"/>
      <c r="DN20" s="267"/>
      <c r="DO20" s="267"/>
      <c r="DP20" s="267"/>
      <c r="DQ20" s="267"/>
      <c r="DR20" s="270"/>
      <c r="DS20" s="270"/>
      <c r="DT20" s="270"/>
      <c r="DU20" s="270"/>
      <c r="DW20" s="278"/>
      <c r="DX20" s="278"/>
      <c r="DY20" s="281"/>
      <c r="DZ20" s="281"/>
      <c r="EB20" s="278"/>
      <c r="EC20" s="278"/>
      <c r="ED20" s="281"/>
      <c r="EE20" s="281"/>
    </row>
    <row r="21" spans="1:158">
      <c r="A21" s="205"/>
      <c r="B21" s="205"/>
      <c r="C21" s="201"/>
      <c r="D21" s="201"/>
      <c r="E21" s="201"/>
      <c r="F21" s="201"/>
      <c r="G21" s="201"/>
      <c r="H21" s="201"/>
      <c r="J21" s="230"/>
      <c r="K21" s="206"/>
      <c r="L21" s="206"/>
      <c r="M21" s="206"/>
      <c r="N21" s="206"/>
      <c r="O21" s="206"/>
      <c r="P21" s="206"/>
      <c r="Q21" s="206"/>
      <c r="R21" s="206"/>
      <c r="S21" s="206"/>
      <c r="T21" s="206"/>
      <c r="U21" s="206"/>
      <c r="V21" s="206"/>
      <c r="W21" s="206"/>
      <c r="X21" s="206"/>
      <c r="Y21" s="206"/>
      <c r="Z21" s="209"/>
      <c r="AA21" s="207"/>
      <c r="AB21" s="207"/>
      <c r="AC21" s="207"/>
      <c r="AD21" s="207"/>
      <c r="AE21" s="207"/>
      <c r="AF21" s="207"/>
      <c r="AG21" s="207"/>
      <c r="AH21" s="207"/>
      <c r="AI21" s="207"/>
      <c r="AJ21" s="207"/>
      <c r="AK21" s="207"/>
      <c r="AL21" s="207"/>
      <c r="AM21" s="207"/>
      <c r="AN21" s="207"/>
      <c r="AO21" s="303"/>
      <c r="AP21" s="303"/>
      <c r="AQ21" s="303"/>
      <c r="AR21" s="303"/>
      <c r="AS21" s="303"/>
      <c r="AT21" s="303"/>
      <c r="AU21" s="303"/>
      <c r="AV21" s="303"/>
      <c r="AW21" s="303"/>
      <c r="AX21" s="303"/>
      <c r="AY21" s="303"/>
      <c r="AZ21" s="303"/>
      <c r="BA21" s="207"/>
      <c r="BB21" s="207"/>
      <c r="BC21" s="207"/>
      <c r="BD21" s="207"/>
      <c r="BE21" s="207"/>
      <c r="BF21" s="207"/>
      <c r="BG21" s="207"/>
      <c r="BH21" s="207"/>
      <c r="BI21" s="207"/>
      <c r="BJ21" s="207"/>
      <c r="BK21" s="207"/>
      <c r="BL21" s="207"/>
      <c r="BM21" s="207"/>
      <c r="BN21" s="207"/>
      <c r="BO21" s="207"/>
      <c r="BP21" s="207"/>
      <c r="BQ21" s="207"/>
      <c r="BR21" s="207"/>
      <c r="BS21" s="207"/>
      <c r="BT21" s="207"/>
      <c r="BU21" s="207"/>
      <c r="BV21" s="207"/>
      <c r="BW21" s="207"/>
      <c r="BX21" s="207"/>
      <c r="BY21" s="207"/>
      <c r="BZ21" s="207"/>
      <c r="CA21" s="207"/>
      <c r="CB21" s="207"/>
      <c r="CC21" s="207"/>
      <c r="CD21" s="207"/>
      <c r="CE21" s="304"/>
      <c r="CF21" s="304"/>
      <c r="CG21" s="304"/>
      <c r="CH21" s="304"/>
      <c r="CI21" s="304"/>
      <c r="CJ21" s="304"/>
      <c r="CK21" s="304"/>
      <c r="CL21" s="304"/>
      <c r="CM21" s="304"/>
      <c r="CN21" s="304"/>
      <c r="CO21" s="304"/>
      <c r="CP21" s="304"/>
      <c r="CQ21" s="304"/>
      <c r="CR21" s="304"/>
      <c r="CS21" s="305"/>
      <c r="CV21" s="265"/>
      <c r="CW21" s="265"/>
      <c r="CX21" s="267"/>
      <c r="CY21" s="267"/>
      <c r="CZ21" s="267"/>
      <c r="DA21" s="267"/>
      <c r="DB21" s="267"/>
      <c r="DC21" s="267"/>
      <c r="DD21" s="267"/>
      <c r="DE21" s="267"/>
      <c r="DF21" s="267"/>
      <c r="DG21" s="267"/>
      <c r="DH21" s="267"/>
      <c r="DI21" s="267"/>
      <c r="DJ21" s="267"/>
      <c r="DK21" s="267"/>
      <c r="DL21" s="267"/>
      <c r="DM21" s="267"/>
      <c r="DN21" s="267"/>
      <c r="DO21" s="267"/>
      <c r="DP21" s="267"/>
      <c r="DQ21" s="267"/>
      <c r="DR21" s="270"/>
      <c r="DS21" s="270"/>
      <c r="DT21" s="270"/>
      <c r="DU21" s="270"/>
      <c r="DW21" s="278"/>
      <c r="DX21" s="278"/>
      <c r="DY21" s="281"/>
      <c r="DZ21" s="281"/>
      <c r="EB21" s="278"/>
      <c r="EC21" s="278"/>
      <c r="ED21" s="281"/>
      <c r="EE21" s="281"/>
    </row>
    <row r="22" spans="1:158">
      <c r="A22" s="205"/>
      <c r="B22" s="205"/>
      <c r="C22" s="201"/>
      <c r="D22" s="201"/>
      <c r="E22" s="201"/>
      <c r="F22" s="201"/>
      <c r="G22" s="201"/>
      <c r="H22" s="201"/>
      <c r="K22" s="206"/>
      <c r="L22" s="206"/>
      <c r="M22" s="206"/>
      <c r="N22" s="206"/>
      <c r="O22" s="206"/>
      <c r="P22" s="206"/>
      <c r="Q22" s="206"/>
      <c r="R22" s="206"/>
      <c r="S22" s="206"/>
      <c r="T22" s="206"/>
      <c r="U22" s="206"/>
      <c r="V22" s="206"/>
      <c r="W22" s="206"/>
      <c r="X22" s="206"/>
      <c r="Y22" s="206"/>
      <c r="Z22" s="209"/>
      <c r="AA22" s="207"/>
      <c r="AB22" s="207"/>
      <c r="AC22" s="207"/>
      <c r="AD22" s="207"/>
      <c r="AE22" s="207"/>
      <c r="AF22" s="207"/>
      <c r="AG22" s="207"/>
      <c r="AH22" s="207"/>
      <c r="AI22" s="207"/>
      <c r="AJ22" s="207"/>
      <c r="AK22" s="207"/>
      <c r="AL22" s="207"/>
      <c r="AM22" s="207"/>
      <c r="AN22" s="207"/>
      <c r="AO22" s="303"/>
      <c r="AP22" s="303"/>
      <c r="AQ22" s="303"/>
      <c r="AR22" s="303"/>
      <c r="AS22" s="303"/>
      <c r="AT22" s="303"/>
      <c r="AU22" s="303"/>
      <c r="AV22" s="303"/>
      <c r="AW22" s="303"/>
      <c r="AX22" s="303"/>
      <c r="AY22" s="303"/>
      <c r="AZ22" s="303"/>
      <c r="BA22" s="207"/>
      <c r="BB22" s="207"/>
      <c r="BC22" s="207"/>
      <c r="BD22" s="207"/>
      <c r="BE22" s="207"/>
      <c r="BF22" s="207"/>
      <c r="BG22" s="207"/>
      <c r="BH22" s="207"/>
      <c r="BI22" s="207"/>
      <c r="BJ22" s="207"/>
      <c r="BK22" s="207"/>
      <c r="BL22" s="207"/>
      <c r="BM22" s="207"/>
      <c r="BN22" s="207"/>
      <c r="BO22" s="207"/>
      <c r="BP22" s="207"/>
      <c r="BQ22" s="207"/>
      <c r="BR22" s="207"/>
      <c r="BS22" s="207"/>
      <c r="BT22" s="207"/>
      <c r="BU22" s="207"/>
      <c r="BV22" s="207"/>
      <c r="BW22" s="207"/>
      <c r="BX22" s="207"/>
      <c r="BY22" s="207"/>
      <c r="BZ22" s="207"/>
      <c r="CA22" s="207"/>
      <c r="CB22" s="207"/>
      <c r="CC22" s="207"/>
      <c r="CD22" s="207"/>
      <c r="CE22" s="304"/>
      <c r="CF22" s="304"/>
      <c r="CG22" s="304"/>
      <c r="CH22" s="304"/>
      <c r="CI22" s="304"/>
      <c r="CJ22" s="304"/>
      <c r="CK22" s="304"/>
      <c r="CL22" s="304"/>
      <c r="CM22" s="304"/>
      <c r="CN22" s="304"/>
      <c r="CO22" s="304"/>
      <c r="CP22" s="304"/>
      <c r="CQ22" s="304"/>
      <c r="CR22" s="304"/>
      <c r="CS22" s="305"/>
      <c r="CV22" s="267"/>
      <c r="CW22" s="267"/>
      <c r="CX22" s="267"/>
      <c r="CY22" s="267"/>
      <c r="CZ22" s="267"/>
      <c r="DA22" s="267"/>
      <c r="DB22" s="267"/>
      <c r="DC22" s="267"/>
      <c r="DD22" s="267"/>
      <c r="DE22" s="267"/>
      <c r="DF22" s="267"/>
      <c r="DG22" s="267"/>
      <c r="DH22" s="267"/>
      <c r="DI22" s="267"/>
      <c r="DJ22" s="267"/>
      <c r="DK22" s="267"/>
      <c r="DL22" s="267"/>
      <c r="DM22" s="267"/>
      <c r="DN22" s="267"/>
      <c r="DO22" s="267"/>
      <c r="DP22" s="267"/>
      <c r="DQ22" s="267"/>
      <c r="DR22" s="270"/>
      <c r="DS22" s="270"/>
      <c r="DT22" s="270"/>
      <c r="DU22" s="270"/>
      <c r="DW22" s="278"/>
      <c r="DX22" s="278"/>
      <c r="DY22" s="281"/>
      <c r="DZ22" s="281"/>
      <c r="EB22" s="278"/>
      <c r="EC22" s="278"/>
      <c r="ED22" s="281"/>
      <c r="EE22" s="281"/>
    </row>
    <row r="23" spans="1:158">
      <c r="A23" s="205"/>
      <c r="B23" s="205"/>
      <c r="C23" s="201"/>
      <c r="D23" s="201"/>
      <c r="E23" s="201"/>
      <c r="F23" s="201"/>
      <c r="G23" s="201"/>
      <c r="H23" s="201"/>
      <c r="I23" s="56"/>
      <c r="J23" s="56"/>
      <c r="K23" s="206"/>
      <c r="L23" s="206"/>
      <c r="M23" s="206"/>
      <c r="N23" s="206"/>
      <c r="O23" s="206"/>
      <c r="P23" s="206"/>
      <c r="Q23" s="206"/>
      <c r="R23" s="206"/>
      <c r="S23" s="206"/>
      <c r="T23" s="206"/>
      <c r="U23" s="206"/>
      <c r="V23" s="206"/>
      <c r="W23" s="206"/>
      <c r="X23" s="206"/>
      <c r="Y23" s="206"/>
      <c r="Z23" s="209"/>
      <c r="AA23" s="207"/>
      <c r="AB23" s="207"/>
      <c r="AC23" s="207"/>
      <c r="AD23" s="207"/>
      <c r="AE23" s="207"/>
      <c r="AF23" s="207"/>
      <c r="AG23" s="207"/>
      <c r="AH23" s="207"/>
      <c r="AI23" s="207"/>
      <c r="AJ23" s="207"/>
      <c r="AK23" s="207"/>
      <c r="AL23" s="207"/>
      <c r="AM23" s="207"/>
      <c r="AN23" s="207"/>
      <c r="AO23" s="303"/>
      <c r="AP23" s="303"/>
      <c r="AQ23" s="303"/>
      <c r="AR23" s="303"/>
      <c r="AS23" s="303"/>
      <c r="AT23" s="303"/>
      <c r="AU23" s="303"/>
      <c r="AV23" s="303"/>
      <c r="AW23" s="303"/>
      <c r="AX23" s="303"/>
      <c r="AY23" s="303"/>
      <c r="AZ23" s="303"/>
      <c r="BA23" s="207"/>
      <c r="BB23" s="207"/>
      <c r="BC23" s="207"/>
      <c r="BD23" s="207"/>
      <c r="BE23" s="207"/>
      <c r="BF23" s="207"/>
      <c r="BG23" s="207"/>
      <c r="BH23" s="207"/>
      <c r="BI23" s="207"/>
      <c r="BJ23" s="207"/>
      <c r="BK23" s="207"/>
      <c r="BL23" s="207"/>
      <c r="BM23" s="207"/>
      <c r="BN23" s="207"/>
      <c r="BO23" s="207"/>
      <c r="BP23" s="207"/>
      <c r="BQ23" s="207"/>
      <c r="BR23" s="207"/>
      <c r="BS23" s="207"/>
      <c r="BT23" s="207"/>
      <c r="BU23" s="207"/>
      <c r="BV23" s="207"/>
      <c r="BW23" s="207"/>
      <c r="BX23" s="207"/>
      <c r="BY23" s="207"/>
      <c r="BZ23" s="207"/>
      <c r="CA23" s="207"/>
      <c r="CB23" s="207"/>
      <c r="CC23" s="207"/>
      <c r="CD23" s="207"/>
      <c r="CE23" s="304"/>
      <c r="CF23" s="304"/>
      <c r="CG23" s="304"/>
      <c r="CH23" s="304"/>
      <c r="CI23" s="304"/>
      <c r="CJ23" s="304"/>
      <c r="CK23" s="304"/>
      <c r="CL23" s="304"/>
      <c r="CM23" s="304"/>
      <c r="CN23" s="304"/>
      <c r="CO23" s="304"/>
      <c r="CP23" s="304"/>
      <c r="CQ23" s="304"/>
      <c r="CR23" s="304"/>
      <c r="CS23" s="305"/>
      <c r="CV23" s="267"/>
      <c r="CW23" s="267"/>
      <c r="CX23" s="267"/>
      <c r="CY23" s="267"/>
      <c r="CZ23" s="267"/>
      <c r="DA23" s="267"/>
      <c r="DB23" s="267"/>
      <c r="DC23" s="267"/>
      <c r="DD23" s="267"/>
      <c r="DE23" s="267"/>
      <c r="DF23" s="267"/>
      <c r="DG23" s="267"/>
      <c r="DH23" s="267"/>
      <c r="DI23" s="267"/>
      <c r="DJ23" s="267"/>
      <c r="DK23" s="267"/>
      <c r="DL23" s="267"/>
      <c r="DM23" s="267"/>
      <c r="DN23" s="267"/>
      <c r="DO23" s="267"/>
      <c r="DP23" s="267"/>
      <c r="DQ23" s="267"/>
      <c r="DR23" s="270"/>
      <c r="DS23" s="270"/>
      <c r="DT23" s="270"/>
      <c r="DU23" s="270"/>
      <c r="DW23" s="278"/>
      <c r="DX23" s="278"/>
      <c r="DY23" s="281"/>
      <c r="DZ23" s="281"/>
      <c r="EB23" s="278"/>
      <c r="EC23" s="278"/>
      <c r="ED23" s="281"/>
      <c r="EE23" s="281"/>
    </row>
    <row r="24" spans="1:158">
      <c r="I24" s="56"/>
      <c r="J24" s="56"/>
      <c r="DW24" s="278"/>
      <c r="DX24" s="278" t="s">
        <v>26</v>
      </c>
      <c r="DY24" s="281">
        <f>SUM(DY17:DY23)</f>
        <v>2376.0265958663608</v>
      </c>
      <c r="DZ24" s="281">
        <f>SUM(DZ17:DZ23)</f>
        <v>6.2879972344582322</v>
      </c>
      <c r="EC24" s="278" t="s">
        <v>26</v>
      </c>
      <c r="ED24" s="281">
        <f>DY24</f>
        <v>2376.0265958663608</v>
      </c>
      <c r="EE24" s="281">
        <f>DZ24</f>
        <v>6.2879972344582322</v>
      </c>
    </row>
    <row r="25" spans="1:158">
      <c r="A25" s="205"/>
      <c r="B25" s="205"/>
      <c r="C25" s="201"/>
      <c r="D25" s="201"/>
      <c r="E25" s="201"/>
      <c r="F25" s="201"/>
      <c r="G25" s="201"/>
      <c r="H25" s="201"/>
      <c r="I25" s="56"/>
      <c r="J25" s="56"/>
      <c r="ED25" s="230">
        <f>SUM(ED17:ED23)-ED24</f>
        <v>0</v>
      </c>
      <c r="EE25" s="230" t="b">
        <f>SUM(EE17:EE23)=EE24</f>
        <v>1</v>
      </c>
    </row>
    <row r="26" spans="1:158">
      <c r="A26" s="205"/>
      <c r="B26" s="205"/>
      <c r="C26" s="201"/>
      <c r="D26" s="201"/>
      <c r="E26" s="201"/>
      <c r="F26" s="201"/>
      <c r="G26" s="201"/>
      <c r="H26" s="201"/>
      <c r="I26" s="56"/>
      <c r="J26" s="56"/>
    </row>
    <row r="27" spans="1:158">
      <c r="A27" s="205"/>
      <c r="B27" s="205"/>
      <c r="C27" s="201"/>
      <c r="D27" s="201"/>
      <c r="E27" s="201"/>
      <c r="F27" s="201"/>
      <c r="G27" s="201"/>
      <c r="H27" s="201"/>
      <c r="I27" s="56"/>
      <c r="J27" s="56"/>
    </row>
    <row r="28" spans="1:158">
      <c r="A28" s="205"/>
      <c r="B28" s="205"/>
      <c r="C28" s="201"/>
      <c r="D28" s="201"/>
      <c r="E28" s="201"/>
      <c r="F28" s="201"/>
      <c r="G28" s="201"/>
      <c r="H28" s="201"/>
      <c r="I28" s="56"/>
      <c r="J28" s="56"/>
    </row>
    <row r="29" spans="1:158">
      <c r="A29" s="205"/>
      <c r="B29" s="205"/>
      <c r="C29" s="201"/>
      <c r="D29" s="201"/>
      <c r="E29" s="201"/>
      <c r="F29" s="201"/>
      <c r="G29" s="201"/>
      <c r="H29" s="352">
        <f>SUM(H17:H28)</f>
        <v>6488.5820924749996</v>
      </c>
      <c r="I29" s="97" t="b">
        <f>H29=M7*(1+KTDB_발생량도착량_증가율!$C$8*5)</f>
        <v>1</v>
      </c>
      <c r="J29" s="230"/>
    </row>
    <row r="53" spans="1:164">
      <c r="FA53" s="277"/>
    </row>
    <row r="54" spans="1:164">
      <c r="FA54" s="277"/>
    </row>
    <row r="55" spans="1:164">
      <c r="FA55" s="277"/>
    </row>
    <row r="56" spans="1:164" s="227" customFormat="1" ht="19.5">
      <c r="A56" s="329">
        <v>2025</v>
      </c>
      <c r="B56" s="282"/>
      <c r="C56" s="283"/>
      <c r="D56" s="284"/>
      <c r="E56" s="284"/>
      <c r="F56" s="284"/>
      <c r="G56" s="284"/>
      <c r="H56" s="284"/>
      <c r="I56" s="284"/>
      <c r="K56" s="282"/>
      <c r="L56" s="282"/>
      <c r="M56" s="283"/>
      <c r="N56" s="284"/>
      <c r="O56" s="284"/>
      <c r="P56" s="284"/>
      <c r="Q56" s="284"/>
      <c r="R56" s="284"/>
      <c r="S56" s="284"/>
    </row>
    <row r="57" spans="1:164" ht="23.5" thickBot="1">
      <c r="A57" s="32" t="s">
        <v>642</v>
      </c>
      <c r="C57" t="s">
        <v>464</v>
      </c>
      <c r="D57" t="s">
        <v>468</v>
      </c>
      <c r="E57" t="s">
        <v>471</v>
      </c>
      <c r="F57" t="s">
        <v>466</v>
      </c>
      <c r="G57" t="s">
        <v>467</v>
      </c>
      <c r="H57" t="s">
        <v>21</v>
      </c>
      <c r="K57" s="32" t="s">
        <v>472</v>
      </c>
      <c r="CV57" s="32" t="s">
        <v>493</v>
      </c>
      <c r="CY57" t="s">
        <v>479</v>
      </c>
      <c r="CZ57" t="s">
        <v>480</v>
      </c>
      <c r="EL57" s="353" t="s">
        <v>856</v>
      </c>
      <c r="EV57" s="353" t="s">
        <v>746</v>
      </c>
    </row>
    <row r="58" spans="1:164">
      <c r="A58" t="s">
        <v>463</v>
      </c>
      <c r="C58" t="s">
        <v>427</v>
      </c>
      <c r="D58" t="s">
        <v>428</v>
      </c>
      <c r="E58" t="s">
        <v>429</v>
      </c>
      <c r="F58" t="s">
        <v>430</v>
      </c>
      <c r="G58" t="s">
        <v>431</v>
      </c>
      <c r="H58" t="s">
        <v>457</v>
      </c>
      <c r="K58" s="159" t="s">
        <v>483</v>
      </c>
      <c r="L58" s="159"/>
      <c r="M58" s="441" t="s">
        <v>464</v>
      </c>
      <c r="N58" s="442"/>
      <c r="O58" s="442"/>
      <c r="P58" s="442"/>
      <c r="Q58" s="442"/>
      <c r="R58" s="442"/>
      <c r="S58" s="442"/>
      <c r="T58" s="442"/>
      <c r="U58" s="442"/>
      <c r="V58" s="442"/>
      <c r="W58" s="442"/>
      <c r="X58" s="442"/>
      <c r="Y58" s="442"/>
      <c r="Z58" s="443"/>
      <c r="AA58" s="441" t="s">
        <v>468</v>
      </c>
      <c r="AB58" s="442"/>
      <c r="AC58" s="442"/>
      <c r="AD58" s="442"/>
      <c r="AE58" s="442"/>
      <c r="AF58" s="442"/>
      <c r="AG58" s="442"/>
      <c r="AH58" s="442"/>
      <c r="AI58" s="442"/>
      <c r="AJ58" s="442"/>
      <c r="AK58" s="442"/>
      <c r="AL58" s="442"/>
      <c r="AM58" s="442"/>
      <c r="AN58" s="443"/>
      <c r="AO58" s="441" t="s">
        <v>465</v>
      </c>
      <c r="AP58" s="442"/>
      <c r="AQ58" s="442"/>
      <c r="AR58" s="442"/>
      <c r="AS58" s="442"/>
      <c r="AT58" s="442"/>
      <c r="AU58" s="442"/>
      <c r="AV58" s="442"/>
      <c r="AW58" s="442"/>
      <c r="AX58" s="442"/>
      <c r="AY58" s="442"/>
      <c r="AZ58" s="442"/>
      <c r="BA58" s="442"/>
      <c r="BB58" s="443"/>
      <c r="BC58" s="441" t="s">
        <v>466</v>
      </c>
      <c r="BD58" s="442"/>
      <c r="BE58" s="442"/>
      <c r="BF58" s="442"/>
      <c r="BG58" s="442"/>
      <c r="BH58" s="442"/>
      <c r="BI58" s="442"/>
      <c r="BJ58" s="442"/>
      <c r="BK58" s="442"/>
      <c r="BL58" s="442"/>
      <c r="BM58" s="442"/>
      <c r="BN58" s="442"/>
      <c r="BO58" s="442"/>
      <c r="BP58" s="443"/>
      <c r="BQ58" s="441" t="s">
        <v>467</v>
      </c>
      <c r="BR58" s="442"/>
      <c r="BS58" s="442"/>
      <c r="BT58" s="442"/>
      <c r="BU58" s="442"/>
      <c r="BV58" s="442"/>
      <c r="BW58" s="442"/>
      <c r="BX58" s="442"/>
      <c r="BY58" s="442"/>
      <c r="BZ58" s="442"/>
      <c r="CA58" s="442"/>
      <c r="CB58" s="442"/>
      <c r="CC58" s="442"/>
      <c r="CD58" s="443"/>
      <c r="CE58" s="441" t="s">
        <v>21</v>
      </c>
      <c r="CF58" s="442"/>
      <c r="CG58" s="442"/>
      <c r="CH58" s="442"/>
      <c r="CI58" s="442"/>
      <c r="CJ58" s="442"/>
      <c r="CK58" s="442"/>
      <c r="CL58" s="442"/>
      <c r="CM58" s="442"/>
      <c r="CN58" s="442"/>
      <c r="CO58" s="442"/>
      <c r="CP58" s="442"/>
      <c r="CQ58" s="442"/>
      <c r="CR58" s="443"/>
      <c r="CV58" s="263" t="s">
        <v>483</v>
      </c>
      <c r="CW58" s="263"/>
      <c r="CX58" s="445" t="s">
        <v>555</v>
      </c>
      <c r="CY58" s="439"/>
      <c r="CZ58" s="439"/>
      <c r="DA58" s="446"/>
      <c r="DB58" s="438" t="s">
        <v>554</v>
      </c>
      <c r="DC58" s="439"/>
      <c r="DD58" s="439"/>
      <c r="DE58" s="446"/>
      <c r="DF58" s="438" t="s">
        <v>465</v>
      </c>
      <c r="DG58" s="439"/>
      <c r="DH58" s="439"/>
      <c r="DI58" s="446"/>
      <c r="DJ58" s="438" t="s">
        <v>466</v>
      </c>
      <c r="DK58" s="439"/>
      <c r="DL58" s="439"/>
      <c r="DM58" s="446"/>
      <c r="DN58" s="438" t="s">
        <v>467</v>
      </c>
      <c r="DO58" s="439"/>
      <c r="DP58" s="439"/>
      <c r="DQ58" s="446"/>
      <c r="DR58" s="438" t="s">
        <v>21</v>
      </c>
      <c r="DS58" s="439"/>
      <c r="DT58" s="439"/>
      <c r="DU58" s="440"/>
      <c r="DW58" s="278"/>
      <c r="DX58" s="278"/>
      <c r="DY58" s="444" t="s">
        <v>589</v>
      </c>
      <c r="DZ58" s="444"/>
      <c r="EB58" s="278"/>
      <c r="EC58" s="278"/>
      <c r="ED58" s="444" t="s">
        <v>589</v>
      </c>
      <c r="EE58" s="444"/>
      <c r="EI58" t="s">
        <v>600</v>
      </c>
    </row>
    <row r="59" spans="1:164">
      <c r="A59" s="199"/>
      <c r="B59" s="199"/>
      <c r="C59" s="202" t="s">
        <v>464</v>
      </c>
      <c r="D59" s="202" t="s">
        <v>468</v>
      </c>
      <c r="E59" s="202" t="s">
        <v>465</v>
      </c>
      <c r="F59" s="202" t="s">
        <v>466</v>
      </c>
      <c r="G59" s="202" t="s">
        <v>559</v>
      </c>
      <c r="H59" s="202" t="s">
        <v>21</v>
      </c>
      <c r="K59" s="159"/>
      <c r="L59" s="159"/>
      <c r="M59" s="211" t="s">
        <v>473</v>
      </c>
      <c r="N59" s="160" t="s">
        <v>156</v>
      </c>
      <c r="O59" s="160" t="s">
        <v>476</v>
      </c>
      <c r="P59" s="160" t="s">
        <v>477</v>
      </c>
      <c r="Q59" s="160" t="s">
        <v>478</v>
      </c>
      <c r="R59" s="160" t="s">
        <v>479</v>
      </c>
      <c r="S59" s="160" t="s">
        <v>480</v>
      </c>
      <c r="T59" s="160" t="s">
        <v>481</v>
      </c>
      <c r="U59" s="160" t="s">
        <v>449</v>
      </c>
      <c r="V59" s="160" t="s">
        <v>157</v>
      </c>
      <c r="W59" s="160" t="s">
        <v>474</v>
      </c>
      <c r="X59" s="160" t="s">
        <v>475</v>
      </c>
      <c r="Y59" s="160" t="s">
        <v>46</v>
      </c>
      <c r="Z59" s="212" t="s">
        <v>11</v>
      </c>
      <c r="AA59" s="211" t="s">
        <v>473</v>
      </c>
      <c r="AB59" s="160" t="s">
        <v>156</v>
      </c>
      <c r="AC59" s="160" t="s">
        <v>476</v>
      </c>
      <c r="AD59" s="160" t="s">
        <v>477</v>
      </c>
      <c r="AE59" s="160" t="s">
        <v>478</v>
      </c>
      <c r="AF59" s="160" t="s">
        <v>479</v>
      </c>
      <c r="AG59" s="160" t="s">
        <v>480</v>
      </c>
      <c r="AH59" s="160" t="s">
        <v>481</v>
      </c>
      <c r="AI59" s="160" t="s">
        <v>449</v>
      </c>
      <c r="AJ59" s="160" t="s">
        <v>157</v>
      </c>
      <c r="AK59" s="160" t="s">
        <v>474</v>
      </c>
      <c r="AL59" s="160" t="s">
        <v>475</v>
      </c>
      <c r="AM59" s="160" t="s">
        <v>46</v>
      </c>
      <c r="AN59" s="212" t="s">
        <v>11</v>
      </c>
      <c r="AO59" s="211" t="s">
        <v>473</v>
      </c>
      <c r="AP59" s="160" t="s">
        <v>156</v>
      </c>
      <c r="AQ59" s="160" t="s">
        <v>476</v>
      </c>
      <c r="AR59" s="160" t="s">
        <v>477</v>
      </c>
      <c r="AS59" s="160" t="s">
        <v>478</v>
      </c>
      <c r="AT59" s="160" t="s">
        <v>479</v>
      </c>
      <c r="AU59" s="160" t="s">
        <v>480</v>
      </c>
      <c r="AV59" s="160" t="s">
        <v>481</v>
      </c>
      <c r="AW59" s="160" t="s">
        <v>449</v>
      </c>
      <c r="AX59" s="160" t="s">
        <v>157</v>
      </c>
      <c r="AY59" s="160" t="s">
        <v>474</v>
      </c>
      <c r="AZ59" s="160" t="s">
        <v>475</v>
      </c>
      <c r="BA59" s="160" t="s">
        <v>46</v>
      </c>
      <c r="BB59" s="212" t="s">
        <v>11</v>
      </c>
      <c r="BC59" s="211" t="s">
        <v>473</v>
      </c>
      <c r="BD59" s="160" t="s">
        <v>156</v>
      </c>
      <c r="BE59" s="160" t="s">
        <v>476</v>
      </c>
      <c r="BF59" s="160" t="s">
        <v>477</v>
      </c>
      <c r="BG59" s="160" t="s">
        <v>478</v>
      </c>
      <c r="BH59" s="160" t="s">
        <v>479</v>
      </c>
      <c r="BI59" s="160" t="s">
        <v>480</v>
      </c>
      <c r="BJ59" s="160" t="s">
        <v>481</v>
      </c>
      <c r="BK59" s="160" t="s">
        <v>449</v>
      </c>
      <c r="BL59" s="160" t="s">
        <v>157</v>
      </c>
      <c r="BM59" s="160" t="s">
        <v>474</v>
      </c>
      <c r="BN59" s="160" t="s">
        <v>475</v>
      </c>
      <c r="BO59" s="160" t="s">
        <v>46</v>
      </c>
      <c r="BP59" s="212" t="s">
        <v>11</v>
      </c>
      <c r="BQ59" s="211" t="s">
        <v>473</v>
      </c>
      <c r="BR59" s="160" t="s">
        <v>156</v>
      </c>
      <c r="BS59" s="160" t="s">
        <v>476</v>
      </c>
      <c r="BT59" s="160" t="s">
        <v>477</v>
      </c>
      <c r="BU59" s="160" t="s">
        <v>478</v>
      </c>
      <c r="BV59" s="160" t="s">
        <v>479</v>
      </c>
      <c r="BW59" s="160" t="s">
        <v>480</v>
      </c>
      <c r="BX59" s="160" t="s">
        <v>481</v>
      </c>
      <c r="BY59" s="160" t="s">
        <v>449</v>
      </c>
      <c r="BZ59" s="160" t="s">
        <v>157</v>
      </c>
      <c r="CA59" s="160" t="s">
        <v>474</v>
      </c>
      <c r="CB59" s="160" t="s">
        <v>475</v>
      </c>
      <c r="CC59" s="160" t="s">
        <v>46</v>
      </c>
      <c r="CD59" s="212" t="s">
        <v>11</v>
      </c>
      <c r="CE59" s="211" t="s">
        <v>473</v>
      </c>
      <c r="CF59" s="160" t="s">
        <v>156</v>
      </c>
      <c r="CG59" s="160" t="s">
        <v>476</v>
      </c>
      <c r="CH59" s="160" t="s">
        <v>477</v>
      </c>
      <c r="CI59" s="160" t="s">
        <v>478</v>
      </c>
      <c r="CJ59" s="160" t="s">
        <v>479</v>
      </c>
      <c r="CK59" s="160" t="s">
        <v>480</v>
      </c>
      <c r="CL59" s="160" t="s">
        <v>481</v>
      </c>
      <c r="CM59" s="160" t="s">
        <v>449</v>
      </c>
      <c r="CN59" s="160" t="s">
        <v>157</v>
      </c>
      <c r="CO59" s="160" t="s">
        <v>474</v>
      </c>
      <c r="CP59" s="160" t="s">
        <v>475</v>
      </c>
      <c r="CQ59" s="160" t="s">
        <v>46</v>
      </c>
      <c r="CR59" s="212" t="s">
        <v>11</v>
      </c>
      <c r="CV59" s="263"/>
      <c r="CW59" s="263"/>
      <c r="CX59" s="264" t="s">
        <v>156</v>
      </c>
      <c r="CY59" s="264" t="s">
        <v>479</v>
      </c>
      <c r="CZ59" s="264" t="s">
        <v>480</v>
      </c>
      <c r="DA59" s="264" t="s">
        <v>157</v>
      </c>
      <c r="DB59" s="264" t="s">
        <v>156</v>
      </c>
      <c r="DC59" s="264" t="s">
        <v>479</v>
      </c>
      <c r="DD59" s="264" t="s">
        <v>480</v>
      </c>
      <c r="DE59" s="264" t="s">
        <v>157</v>
      </c>
      <c r="DF59" s="264" t="s">
        <v>156</v>
      </c>
      <c r="DG59" s="264" t="s">
        <v>479</v>
      </c>
      <c r="DH59" s="264" t="s">
        <v>480</v>
      </c>
      <c r="DI59" s="264" t="s">
        <v>157</v>
      </c>
      <c r="DJ59" s="264" t="s">
        <v>156</v>
      </c>
      <c r="DK59" s="264" t="s">
        <v>479</v>
      </c>
      <c r="DL59" s="264" t="s">
        <v>480</v>
      </c>
      <c r="DM59" s="264" t="s">
        <v>157</v>
      </c>
      <c r="DN59" s="264" t="s">
        <v>156</v>
      </c>
      <c r="DO59" s="264" t="s">
        <v>479</v>
      </c>
      <c r="DP59" s="264" t="s">
        <v>480</v>
      </c>
      <c r="DQ59" s="264" t="s">
        <v>157</v>
      </c>
      <c r="DR59" s="264" t="s">
        <v>156</v>
      </c>
      <c r="DS59" s="264" t="s">
        <v>479</v>
      </c>
      <c r="DT59" s="264" t="s">
        <v>480</v>
      </c>
      <c r="DU59" s="264" t="s">
        <v>157</v>
      </c>
      <c r="DW59" s="278"/>
      <c r="DX59" s="278"/>
      <c r="DY59" s="280" t="s">
        <v>586</v>
      </c>
      <c r="DZ59" s="280" t="s">
        <v>259</v>
      </c>
      <c r="EB59" s="278"/>
      <c r="EC59" s="278"/>
      <c r="ED59" s="280" t="s">
        <v>586</v>
      </c>
      <c r="EE59" s="280" t="s">
        <v>259</v>
      </c>
      <c r="EL59" s="420" t="s">
        <v>565</v>
      </c>
      <c r="EM59" s="420" t="s">
        <v>566</v>
      </c>
      <c r="EN59" s="420" t="s">
        <v>567</v>
      </c>
      <c r="EO59" s="420" t="s">
        <v>563</v>
      </c>
      <c r="EP59" s="421" t="s">
        <v>598</v>
      </c>
      <c r="EQ59" s="421" t="s">
        <v>586</v>
      </c>
      <c r="ER59" s="421" t="s">
        <v>259</v>
      </c>
      <c r="ES59" s="424" t="s">
        <v>868</v>
      </c>
      <c r="EV59" s="306" t="s">
        <v>565</v>
      </c>
      <c r="EW59" s="306" t="s">
        <v>566</v>
      </c>
      <c r="EX59" s="306" t="s">
        <v>567</v>
      </c>
      <c r="EY59" s="306" t="s">
        <v>563</v>
      </c>
      <c r="EZ59" s="307" t="s">
        <v>598</v>
      </c>
      <c r="FA59" s="307" t="s">
        <v>586</v>
      </c>
      <c r="FB59" s="307" t="s">
        <v>259</v>
      </c>
    </row>
    <row r="60" spans="1:164">
      <c r="A60" s="205"/>
      <c r="B60" s="205" t="s">
        <v>745</v>
      </c>
      <c r="C60" s="400">
        <f>$L$7*KTDB_TripDistribution_2025!T$12 * (1+KTDB_발생량도착량_증가율!$C$7*5)</f>
        <v>749.3787228990733</v>
      </c>
      <c r="D60" s="400">
        <f>$L$7*KTDB_TripDistribution_2025!U$12 * (1+KTDB_발생량도착량_증가율!$C$7*5)</f>
        <v>5423.4071267953159</v>
      </c>
      <c r="E60" s="400">
        <f>$L$7*KTDB_TripDistribution_2025!V$12 * (1+KTDB_발생량도착량_증가율!$C$7*5)</f>
        <v>311.12744280433441</v>
      </c>
      <c r="F60" s="400">
        <f>$L$7*KTDB_TripDistribution_2025!W$12 * (1+KTDB_발생량도착량_증가율!$C$7*5)</f>
        <v>0.4889378357323213</v>
      </c>
      <c r="G60" s="400">
        <f>$L$7*KTDB_TripDistribution_2025!X$12 * (1+KTDB_발생량도착량_증가율!$C$7*5)</f>
        <v>1.847098490544332</v>
      </c>
      <c r="H60" s="400">
        <f>$L$7*KTDB_TripDistribution_2025!Y$12 * (1+KTDB_발생량도착량_증가율!$C$7*5)</f>
        <v>6486.2493288250007</v>
      </c>
      <c r="J60" s="230">
        <f t="shared" ref="J60" si="5">CR60</f>
        <v>6486.2493288249998</v>
      </c>
      <c r="K60" s="206"/>
      <c r="L60" s="206" t="s">
        <v>744</v>
      </c>
      <c r="M60" s="206">
        <f>INDEX($A$59:$H$60,MATCH($L60,$B$59:$B$60,0),MATCH($M$58,$A$59:$H$59,0))*고양시_Modal_split!C$3 * 0.01</f>
        <v>2.098260424117405</v>
      </c>
      <c r="N60" s="206">
        <f>INDEX($A$59:$H$60,MATCH($L60,$B$59:$B$60,0),MATCH($M$58,$A$59:$H$59,0))*고양시_Modal_split!D$3 * 0.01</f>
        <v>352.43281337943415</v>
      </c>
      <c r="O60" s="206">
        <f>INDEX($A$59:$H$60,MATCH($L60,$B$59:$B$60,0),MATCH($M$58,$A$59:$H$59,0))*고양시_Modal_split!E$3 * 0.01</f>
        <v>42.639649332957269</v>
      </c>
      <c r="P60" s="206">
        <f>INDEX($A$59:$H$60,MATCH($L60,$B$59:$B$60,0),MATCH($M$58,$A$59:$H$59,0))*고양시_Modal_split!F$3 * 0.01</f>
        <v>68.718028889845016</v>
      </c>
      <c r="Q60" s="206">
        <f>INDEX($A$59:$H$60,MATCH($L60,$B$59:$B$60,0),MATCH($M$58,$A$59:$H$59,0))*고양시_Modal_split!G$3 * 0.01</f>
        <v>6.8942842506714737</v>
      </c>
      <c r="R60" s="206">
        <f>INDEX($A$59:$H$60,MATCH($L60,$B$59:$B$60,0),MATCH($M$58,$A$59:$H$59,0))*고양시_Modal_split!H$3 * 0.01</f>
        <v>7.4937872289907337E-2</v>
      </c>
      <c r="S60" s="206">
        <f>INDEX($A$59:$H$60,MATCH($L60,$B$59:$B$60,0),MATCH($M$58,$A$59:$H$59,0))*고양시_Modal_split!I$3 * 0.01</f>
        <v>20.832728496594235</v>
      </c>
      <c r="T60" s="206">
        <f>INDEX($A$59:$H$60,MATCH($L60,$B$59:$B$60,0),MATCH($M$58,$A$59:$H$59,0))*고양시_Modal_split!J$3 * 0.01</f>
        <v>228.11088325047794</v>
      </c>
      <c r="U60" s="206">
        <f>INDEX($A$59:$H$60,MATCH($L60,$B$59:$B$60,0),MATCH($M$58,$A$59:$H$59,0))*고양시_Modal_split!K$3 * 0.01</f>
        <v>1.1240680843486099</v>
      </c>
      <c r="V60" s="206">
        <f>INDEX($A$59:$H$60,MATCH($L60,$B$59:$B$60,0),MATCH($M$58,$A$59:$H$59,0))*고양시_Modal_split!L$3 * 0.01</f>
        <v>22.631237431552012</v>
      </c>
      <c r="W60" s="206">
        <f>INDEX($A$59:$H$60,MATCH($L60,$B$59:$B$60,0),MATCH($M$58,$A$59:$H$59,0))*고양시_Modal_split!M$3 * 0.01</f>
        <v>1.7235710626678684</v>
      </c>
      <c r="X60" s="206">
        <f>INDEX($A$59:$H$60,MATCH($L60,$B$59:$B$60,0),MATCH($M$58,$A$59:$H$59,0))*고양시_Modal_split!N$3 * 0.01</f>
        <v>0.74937872289907337</v>
      </c>
      <c r="Y60" s="206">
        <f>INDEX($A$59:$H$60,MATCH($L60,$B$59:$B$60,0),MATCH($M$58,$A$59:$H$59,0))*고양시_Modal_split!O$3 * 0.01</f>
        <v>1.3488817012183318</v>
      </c>
      <c r="Z60" s="209">
        <f>INDEX($A$59:$H$60,MATCH($L60,$B$59:$B$60,0),MATCH($M$58,$A$59:$H$59,0))*고양시_Modal_split!P$3 * 0.01</f>
        <v>749.3787228990733</v>
      </c>
      <c r="AA60" s="206">
        <f>INDEX($A$59:$H$60,MATCH($L60,$B$59:$B$60,0),MATCH($AA$58,$A$59:$H$59,0))*고양시_Modal_split!C$3 * 0.01</f>
        <v>15.185539955026885</v>
      </c>
      <c r="AB60" s="207">
        <f>INDEX($A$59:$H$60,MATCH($L60,$B$59:$B$60,0),MATCH($AA$58,$A$59:$H$59,0))*고양시_Modal_split!D$3 * 0.01</f>
        <v>2550.628371731837</v>
      </c>
      <c r="AC60" s="207">
        <f>INDEX($A$59:$H$60,MATCH($L60,$B$59:$B$60,0),MATCH($AA$58,$A$59:$H$59,0))*고양시_Modal_split!E$3 * 0.01</f>
        <v>308.59186551465342</v>
      </c>
      <c r="AD60" s="207">
        <f>INDEX($A$59:$H$60,MATCH($L60,$B$59:$B$60,0),MATCH($AA$58,$A$59:$H$59,0))*고양시_Modal_split!F$3 * 0.01</f>
        <v>497.32643352713046</v>
      </c>
      <c r="AE60" s="207">
        <f>INDEX($A$59:$H$60,MATCH($L60,$B$59:$B$60,0),MATCH($AA$58,$A$59:$H$59,0))*고양시_Modal_split!G$3 * 0.01</f>
        <v>49.895345566516902</v>
      </c>
      <c r="AF60" s="207">
        <f>INDEX($A$59:$H$60,MATCH($L60,$B$59:$B$60,0),MATCH($AA$58,$A$59:$H$59,0))*고양시_Modal_split!H$3 * 0.01</f>
        <v>0.54234071267953166</v>
      </c>
      <c r="AG60" s="207">
        <f>INDEX($A$59:$H$60,MATCH($L60,$B$59:$B$60,0),MATCH($AA$58,$A$59:$H$59,0))*고양시_Modal_split!I$3 * 0.01</f>
        <v>150.77071812490976</v>
      </c>
      <c r="AH60" s="207">
        <f>INDEX($A$59:$H$60,MATCH($L60,$B$59:$B$60,0),MATCH($AA$58,$A$59:$H$59,0))*고양시_Modal_split!J$3 * 0.01</f>
        <v>1650.8851293964944</v>
      </c>
      <c r="AI60" s="207">
        <f>INDEX($A$59:$H$60,MATCH($L60,$B$59:$B$60,0),MATCH($AA$58,$A$59:$H$59,0))*고양시_Modal_split!K$3 * 0.01</f>
        <v>8.1351106901929739</v>
      </c>
      <c r="AJ60" s="207">
        <f>INDEX($A$59:$H$60,MATCH($L60,$B$59:$B$60,0),MATCH($AA$58,$A$59:$H$59,0))*고양시_Modal_split!L$3 * 0.01</f>
        <v>163.78689522921854</v>
      </c>
      <c r="AK60" s="207">
        <f>INDEX($A$59:$H$60,MATCH($L60,$B$59:$B$60,0),MATCH($AA$58,$A$59:$H$59,0))*고양시_Modal_split!M$3 * 0.01</f>
        <v>12.473836391629225</v>
      </c>
      <c r="AL60" s="207">
        <f>INDEX($A$59:$H$60,MATCH($L60,$B$59:$B$60,0),MATCH($AA$58,$A$59:$H$59,0))*고양시_Modal_split!N$3 * 0.01</f>
        <v>5.4234071267953166</v>
      </c>
      <c r="AM60" s="207">
        <f>INDEX($A$59:$H$60,MATCH($L60,$B$59:$B$60,0),MATCH($AA$58,$A$59:$H$59,0))*고양시_Modal_split!O$3 * 0.01</f>
        <v>9.7621328282315698</v>
      </c>
      <c r="AN60" s="207">
        <f>INDEX($A$59:$H$60,MATCH($L60,$B$59:$B$60,0),MATCH($AA$58,$A$59:$H$59,0))*고양시_Modal_split!P$3 * 0.01</f>
        <v>5423.4071267953159</v>
      </c>
      <c r="AO60" s="206">
        <f>INDEX($A$59:$H$60,MATCH($L60,$B$59:$B$60,0),MATCH($AO$58,$A$59:$H$59,0))*고양시_Modal_split!C$3 * 0.01</f>
        <v>0.87115683985213621</v>
      </c>
      <c r="AP60" s="303">
        <f>INDEX($A$59:$H$60,MATCH($L60,$B$59:$B$60,0),MATCH($AO$58,$A$59:$H$59,0))*고양시_Modal_split!D$3 * 0.01</f>
        <v>146.32323635087846</v>
      </c>
      <c r="AQ60" s="303">
        <f>INDEX($A$59:$H$60,MATCH($L60,$B$59:$B$60,0),MATCH($AO$58,$A$59:$H$59,0))*고양시_Modal_split!E$3 * 0.01</f>
        <v>17.703151495566626</v>
      </c>
      <c r="AR60" s="303">
        <f>INDEX($A$59:$H$60,MATCH($L60,$B$59:$B$60,0),MATCH($AO$58,$A$59:$H$59,0))*고양시_Modal_split!F$3 * 0.01</f>
        <v>28.530386505157466</v>
      </c>
      <c r="AS60" s="303">
        <f>INDEX($A$59:$H$60,MATCH($L60,$B$59:$B$60,0),MATCH($AO$58,$A$59:$H$59,0))*고양시_Modal_split!G$3 * 0.01</f>
        <v>2.8623724737998764</v>
      </c>
      <c r="AT60" s="303">
        <f>INDEX($A$59:$H$60,MATCH($L60,$B$59:$B$60,0),MATCH($AO$58,$A$59:$H$59,0))*고양시_Modal_split!H$3 * 0.01</f>
        <v>3.1112744280433442E-2</v>
      </c>
      <c r="AU60" s="303">
        <f>INDEX($A$59:$H$60,MATCH($L60,$B$59:$B$60,0),MATCH($AO$58,$A$59:$H$59,0))*고양시_Modal_split!I$3 * 0.01</f>
        <v>8.649342909960497</v>
      </c>
      <c r="AV60" s="303">
        <f>INDEX($A$59:$H$60,MATCH($L60,$B$59:$B$60,0),MATCH($AO$58,$A$59:$H$59,0))*고양시_Modal_split!J$3 * 0.01</f>
        <v>94.707193589639388</v>
      </c>
      <c r="AW60" s="303">
        <f>INDEX($A$59:$H$60,MATCH($L60,$B$59:$B$60,0),MATCH($AO$58,$A$59:$H$59,0))*고양시_Modal_split!K$3 * 0.01</f>
        <v>0.46669116420650164</v>
      </c>
      <c r="AX60" s="303">
        <f>INDEX($A$59:$H$60,MATCH($L60,$B$59:$B$60,0),MATCH($AO$58,$A$59:$H$59,0))*고양시_Modal_split!L$3 * 0.01</f>
        <v>9.3960487726909001</v>
      </c>
      <c r="AY60" s="303">
        <f>INDEX($A$59:$H$60,MATCH($L60,$B$59:$B$60,0),MATCH($AO$58,$A$59:$H$59,0))*고양시_Modal_split!M$3 * 0.01</f>
        <v>0.71559311844996909</v>
      </c>
      <c r="AZ60" s="303">
        <f>INDEX($A$59:$H$60,MATCH($L60,$B$59:$B$60,0),MATCH($AO$58,$A$59:$H$59,0))*고양시_Modal_split!N$3 * 0.01</f>
        <v>0.31112744280433441</v>
      </c>
      <c r="BA60" s="207">
        <f>INDEX($A$59:$H$60,MATCH($L60,$B$59:$B$60,0),MATCH($AO$58,$A$59:$H$59,0))*고양시_Modal_split!O$3 * 0.01</f>
        <v>0.56002939704780186</v>
      </c>
      <c r="BB60" s="207">
        <f>INDEX($A$59:$H$60,MATCH($L60,$B$59:$B$60,0),MATCH($AO$58,$A$59:$H$59,0))*고양시_Modal_split!P$3 * 0.01</f>
        <v>311.12744280433441</v>
      </c>
      <c r="BC60" s="207">
        <f>INDEX($A$59:$H$60,MATCH($L60,$B$59:$B$60,0),MATCH($BC$58,$A$59:$H$59,0))*고양시_Modal_split!C$3 * 0.01</f>
        <v>1.3690259400504995E-3</v>
      </c>
      <c r="BD60" s="207">
        <f>INDEX($A$59:$H$60,MATCH($L60,$B$59:$B$60,0),MATCH($BC$58,$A$59:$H$59,0))*고양시_Modal_split!D$3 * 0.01</f>
        <v>0.22994746414491071</v>
      </c>
      <c r="BE60" s="207">
        <f>INDEX($A$59:$H$60,MATCH($L60,$B$59:$B$60,0),MATCH($BC$58,$A$59:$H$59,0))*고양시_Modal_split!E$3 * 0.01</f>
        <v>2.7820562853169084E-2</v>
      </c>
      <c r="BF60" s="207">
        <f>INDEX($A$59:$H$60,MATCH($L60,$B$59:$B$60,0),MATCH($BC$58,$A$59:$H$59,0))*고양시_Modal_split!F$3 * 0.01</f>
        <v>4.4835599536653864E-2</v>
      </c>
      <c r="BG60" s="207">
        <f>INDEX($A$59:$H$60,MATCH($L60,$B$59:$B$60,0),MATCH($BC$58,$A$59:$H$59,0))*고양시_Modal_split!G$3 * 0.01</f>
        <v>4.498228088737356E-3</v>
      </c>
      <c r="BH60" s="207">
        <f>INDEX($A$59:$H$60,MATCH($L60,$B$59:$B$60,0),MATCH($BC$58,$A$59:$H$59,0))*고양시_Modal_split!H$3 * 0.01</f>
        <v>4.8893783573232132E-5</v>
      </c>
      <c r="BI60" s="207">
        <f>INDEX($A$59:$H$60,MATCH($L60,$B$59:$B$60,0),MATCH($BC$58,$A$59:$H$59,0))*고양시_Modal_split!I$3 * 0.01</f>
        <v>1.359247183335853E-2</v>
      </c>
      <c r="BJ60" s="207">
        <f>INDEX($A$59:$H$60,MATCH($L60,$B$59:$B$60,0),MATCH($BC$58,$A$59:$H$59,0))*고양시_Modal_split!J$3 * 0.01</f>
        <v>0.14883267719691862</v>
      </c>
      <c r="BK60" s="207">
        <f>INDEX($A$59:$H$60,MATCH($L60,$B$59:$B$60,0),MATCH($BC$58,$A$59:$H$59,0))*고양시_Modal_split!K$3 * 0.01</f>
        <v>7.3340675359848193E-4</v>
      </c>
      <c r="BL60" s="207">
        <f>INDEX($A$59:$H$60,MATCH($L60,$B$59:$B$60,0),MATCH($BC$58,$A$59:$H$59,0))*고양시_Modal_split!L$3 * 0.01</f>
        <v>1.4765922639116103E-2</v>
      </c>
      <c r="BM60" s="207">
        <f>INDEX($A$59:$H$60,MATCH($L60,$B$59:$B$60,0),MATCH($BC$58,$A$59:$H$59,0))*고양시_Modal_split!M$3 * 0.01</f>
        <v>1.124557022184339E-3</v>
      </c>
      <c r="BN60" s="207">
        <f>INDEX($A$59:$H$60,MATCH($L60,$B$59:$B$60,0),MATCH($BC$58,$A$59:$H$59,0))*고양시_Modal_split!N$3 * 0.01</f>
        <v>4.8893783573232129E-4</v>
      </c>
      <c r="BO60" s="207">
        <f>INDEX($A$59:$H$60,MATCH($L60,$B$59:$B$60,0),MATCH($BC$58,$A$59:$H$59,0))*고양시_Modal_split!O$3 * 0.01</f>
        <v>8.8008810431817824E-4</v>
      </c>
      <c r="BP60" s="207">
        <f>INDEX($A$59:$H$60,MATCH($L60,$B$59:$B$60,0),MATCH($BC$58,$A$59:$H$59,0))*고양시_Modal_split!P$3 * 0.01</f>
        <v>0.4889378357323213</v>
      </c>
      <c r="BQ60" s="207">
        <f>INDEX($A$59:$H$60,MATCH($L60,$B$59:$B$60,0),MATCH($BQ$58,$A$59:$H$59,0))*고양시_Modal_split!C$3 * 0.01</f>
        <v>5.1718757735241296E-3</v>
      </c>
      <c r="BR60" s="207">
        <f>INDEX($A$59:$H$60,MATCH($L60,$B$59:$B$60,0),MATCH($BQ$58,$A$59:$H$59,0))*고양시_Modal_split!D$3 * 0.01</f>
        <v>0.86869042010299935</v>
      </c>
      <c r="BS60" s="207">
        <f>INDEX($A$59:$H$60,MATCH($L60,$B$59:$B$60,0),MATCH($BQ$58,$A$59:$H$59,0))*고양시_Modal_split!E$3 * 0.01</f>
        <v>0.10509990411197247</v>
      </c>
      <c r="BT60" s="207">
        <f>INDEX($A$59:$H$60,MATCH($L60,$B$59:$B$60,0),MATCH($BQ$58,$A$59:$H$59,0))*고양시_Modal_split!F$3 * 0.01</f>
        <v>0.16937893158291523</v>
      </c>
      <c r="BU60" s="207">
        <f>INDEX($A$59:$H$60,MATCH($L60,$B$59:$B$60,0),MATCH($BQ$58,$A$59:$H$59,0))*고양시_Modal_split!G$3 * 0.01</f>
        <v>1.6993306113007853E-2</v>
      </c>
      <c r="BV60" s="207">
        <f>INDEX($A$59:$H$60,MATCH($L60,$B$59:$B$60,0),MATCH($BQ$58,$A$59:$H$59,0))*고양시_Modal_split!H$3 * 0.01</f>
        <v>1.847098490544332E-4</v>
      </c>
      <c r="BW60" s="207">
        <f>INDEX($A$59:$H$60,MATCH($L60,$B$59:$B$60,0),MATCH($BQ$58,$A$59:$H$59,0))*고양시_Modal_split!I$3 * 0.01</f>
        <v>5.134933803713243E-2</v>
      </c>
      <c r="BX60" s="207">
        <f>INDEX($A$59:$H$60,MATCH($L60,$B$59:$B$60,0),MATCH($BQ$58,$A$59:$H$59,0))*고양시_Modal_split!J$3 * 0.01</f>
        <v>0.5622567805216947</v>
      </c>
      <c r="BY60" s="207">
        <f>INDEX($A$59:$H$60,MATCH($L60,$B$59:$B$60,0),MATCH($BQ$58,$A$59:$H$59,0))*고양시_Modal_split!K$3 * 0.01</f>
        <v>2.7706477358164978E-3</v>
      </c>
      <c r="BZ60" s="207">
        <f>INDEX($A$59:$H$60,MATCH($L60,$B$59:$B$60,0),MATCH($BQ$58,$A$59:$H$59,0))*고양시_Modal_split!L$3 * 0.01</f>
        <v>5.5782374414438833E-2</v>
      </c>
      <c r="CA60" s="207">
        <f>INDEX($A$59:$H$60,MATCH($L60,$B$59:$B$60,0),MATCH($BQ$58,$A$59:$H$59,0))*고양시_Modal_split!M$3 * 0.01</f>
        <v>4.2483265282519632E-3</v>
      </c>
      <c r="CB60" s="207">
        <f>INDEX($A$59:$H$60,MATCH($L60,$B$59:$B$60,0),MATCH($BQ$58,$A$59:$H$59,0))*고양시_Modal_split!N$3 * 0.01</f>
        <v>1.8470984905443323E-3</v>
      </c>
      <c r="CC60" s="207">
        <f>INDEX($A$59:$H$60,MATCH($L60,$B$59:$B$60,0),MATCH($BQ$58,$A$59:$H$59,0))*고양시_Modal_split!O$3 * 0.01</f>
        <v>3.3247772829797973E-3</v>
      </c>
      <c r="CD60" s="207">
        <f>INDEX($A$59:$H$60,MATCH($L60,$B$59:$B$60,0),MATCH($BQ$58,$A$59:$H$59,0))*고양시_Modal_split!P$3 * 0.01</f>
        <v>1.847098490544332</v>
      </c>
      <c r="CE60" s="304">
        <f>M60+AA60+AO60+BC60+BQ60</f>
        <v>18.16149812071</v>
      </c>
      <c r="CF60" s="304">
        <f t="shared" ref="CF60:CR60" si="6">N60+AB60+AP60+BD60+BR60</f>
        <v>3050.4830593463976</v>
      </c>
      <c r="CG60" s="304">
        <f t="shared" si="6"/>
        <v>369.06758681014242</v>
      </c>
      <c r="CH60" s="304">
        <f t="shared" si="6"/>
        <v>594.78906345325254</v>
      </c>
      <c r="CI60" s="304">
        <f t="shared" si="6"/>
        <v>59.673493825189993</v>
      </c>
      <c r="CJ60" s="304">
        <f t="shared" si="6"/>
        <v>0.6486249328825</v>
      </c>
      <c r="CK60" s="304">
        <f t="shared" si="6"/>
        <v>180.31773134133499</v>
      </c>
      <c r="CL60" s="304">
        <f t="shared" si="6"/>
        <v>1974.4142956943303</v>
      </c>
      <c r="CM60" s="304">
        <f t="shared" si="6"/>
        <v>9.7293739932375001</v>
      </c>
      <c r="CN60" s="304">
        <f t="shared" si="6"/>
        <v>195.88472973051503</v>
      </c>
      <c r="CO60" s="304">
        <f t="shared" si="6"/>
        <v>14.918373456297498</v>
      </c>
      <c r="CP60" s="304">
        <f t="shared" si="6"/>
        <v>6.4862493288250009</v>
      </c>
      <c r="CQ60" s="304">
        <f t="shared" si="6"/>
        <v>11.675248791885002</v>
      </c>
      <c r="CR60" s="304">
        <f t="shared" si="6"/>
        <v>6486.2493288249998</v>
      </c>
      <c r="CS60" s="305">
        <f>H60-CR60</f>
        <v>0</v>
      </c>
      <c r="CV60" s="265"/>
      <c r="CW60" s="265" t="s">
        <v>744</v>
      </c>
      <c r="CX60" s="267">
        <f>INDEX($M$58:$Z$60,MATCH($CW60,$L$58:$L$60,0),MATCH(CX$59,$M$59:$Z$59,0))/INDEX(고양시_재차인원!$D$4:$H$35,MATCH("고양시",고양시_재차인원!$B$4:$B$35,0),MATCH($CX$58,고양시_재차인원!$D$4:$H$4,0))</f>
        <v>314.67215480306618</v>
      </c>
      <c r="CY60" s="267">
        <f>INDEX($M$58:$Z$60,MATCH($CW60,$L$58:$L$60,0),MATCH(CY$59,$M$59:$Z$59,0))/INDEX(고양시_재차인원!$K$4:$O$20,MATCH("경기도",고양시_재차인원!$K$4:$K$20,0),MATCH(CY$59,고양시_재차인원!$K$4:$O$4,0))</f>
        <v>2.6029132438314465E-3</v>
      </c>
      <c r="CZ60" s="267">
        <f>INDEX($M$58:$Z$60,MATCH($CW60,$L$58:$L$60,0),MATCH(CZ$59,$M$59:$Z$59,0))/INDEX(고양시_재차인원!$K$4:$O$20,MATCH("경기도",고양시_재차인원!$K$4:$K$20,0),MATCH(CZ$59,고양시_재차인원!$K$4:$O$4,0))</f>
        <v>0.72360988178514196</v>
      </c>
      <c r="DA60" s="267">
        <f>INDEX($M$58:$Z$60,MATCH($CW60,$L$58:$L$60,0),MATCH(DA$59,$M$59:$Z$59,0))/INDEX(고양시_재차인원!$D$4:$H$35,MATCH("고양시",고양시_재차인원!$B$4:$B$35,0),MATCH($CX$58,고양시_재차인원!$D$4:$H$4,0))</f>
        <v>20.20646199245715</v>
      </c>
      <c r="DB60" s="267">
        <f>INDEX($AA$58:$AN$60,MATCH($CW60,$L$58:$L$60,0),MATCH(DB$59,$AA$59:$AN$59,0))/INDEX(고양시_재차인원!$D$4:$H$35,MATCH("고양시",고양시_재차인원!$B$4:$B$35,0),MATCH($DB$58,고양시_재차인원!$D$4:$H$4,0))</f>
        <v>1808.9562920083952</v>
      </c>
      <c r="DC60" s="267">
        <f>INDEX($AA$58:$AN$60,MATCH($CW60,$L$58:$L$60,0),MATCH(DC$59,$AA$59:$AN$59,0))/INDEX(고양시_재차인원!$K$4:$O$20,MATCH("경기도",고양시_재차인원!$K$4:$K$20,0),MATCH(DC$59,고양시_재차인원!$K$4:$O$4,0))</f>
        <v>1.8837815654030275E-2</v>
      </c>
      <c r="DD60" s="267">
        <f>INDEX($AA$58:$AN$60,MATCH($CW60,$L$58:$L$60,0),MATCH(DD$59,$AA$59:$AN$59,0))/INDEX(고양시_재차인원!$K$4:$O$20,MATCH("경기도",고양시_재차인원!$K$4:$K$20,0),MATCH(DD$59,고양시_재차인원!$K$4:$O$4,0))</f>
        <v>5.2369127518204159</v>
      </c>
      <c r="DE60" s="267">
        <f>INDEX($AA$58:$AN$60,MATCH($CW60,$L$58:$L$60,0),MATCH(DE$59,$AA$59:$AN$59,0))/INDEX(고양시_재차인원!$D$4:$H$35,MATCH("고양시",고양시_재차인원!$B$4:$B$35,0),MATCH($DB$58,고양시_재차인원!$D$4:$H$4,0))</f>
        <v>116.16091860228266</v>
      </c>
      <c r="DF60" s="267">
        <f>INDEX($AO$58:$BB$60,MATCH($CW60,$L$15:$L$17,0),MATCH(DF$59,$AO$59:$BB$59,0))/INDEX(고양시_재차인원!$D$4:$H$35,MATCH("고양시",고양시_재차인원!$B$4:$B$35,0),MATCH($DF$58,고양시_재차인원!$D$4:$H$4,0))</f>
        <v>112.55633565452189</v>
      </c>
      <c r="DG60" s="267">
        <f>INDEX($AO$58:$BB$60,MATCH($CW60,$L$15:$L$17,0),MATCH(DG$59,$AO$59:$BB$59,0))/INDEX(고양시_재차인원!$K$4:$O$20,MATCH("경기도",고양시_재차인원!$K$4:$K$20,0),MATCH(DG$59,고양시_재차인원!$K$4:$O$4,0))</f>
        <v>1.0806788565624675E-3</v>
      </c>
      <c r="DH60" s="267">
        <f>INDEX($AO$58:$BB$60,MATCH($CW60,$L$15:$L$17,0),MATCH(DH$59,$AO$59:$BB$59,0))/INDEX(고양시_재차인원!$K$4:$O$20,MATCH("경기도",고양시_재차인원!$K$4:$K$20,0),MATCH(DH$59,고양시_재차인원!$K$4:$O$4,0))</f>
        <v>0.300428722124366</v>
      </c>
      <c r="DI60" s="267">
        <f>INDEX($AO$58:$BB$60,MATCH($CW60,$L$15:$L$17,0),MATCH(DI$59,$AO$59:$BB$59,0))/INDEX(고양시_재차인원!$D$4:$H$35,MATCH("고양시",고양시_재차인원!$B$4:$B$35,0),MATCH($DF$58,고양시_재차인원!$D$4:$H$4,0))</f>
        <v>7.227729825146846</v>
      </c>
      <c r="DJ60" s="267">
        <f>INDEX($BC$58:$BP$60,MATCH($CW60,$L$58:$L$60,0),MATCH(DJ$59,$BC$59:$BP$59,0))/INDEX(고양시_재차인원!$D$4:$H$35,MATCH("고양시",고양시_재차인원!$B$4:$B$35,0),MATCH($DJ$58,고양시_재차인원!$D$4:$H$4,0))</f>
        <v>0.16907901775361081</v>
      </c>
      <c r="DK60" s="267">
        <f>INDEX($BC$58:$BP$60,MATCH($CW60,$L$58:$L$60,0),MATCH(DK$59,$BC$59:$BP$59,0))/INDEX(고양시_재차인원!$K$4:$O$20,MATCH("경기도",고양시_재차인원!$K$4:$K$20,0),MATCH(DK$59,고양시_재차인원!$K$4:$O$4,0))</f>
        <v>1.6982905027173371E-6</v>
      </c>
      <c r="DL60" s="267">
        <f>INDEX($BC$58:$BP$60,MATCH($CW60,$L$58:$L$60,0),MATCH(DL$59,$BC$59:$BP$59,0))/INDEX(고양시_재차인원!$K$4:$O$20,MATCH("경기도",고양시_재차인원!$K$4:$K$20,0),MATCH(DL$59,고양시_재차인원!$K$4:$O$4,0))</f>
        <v>4.7212475975541958E-4</v>
      </c>
      <c r="DM60" s="267">
        <f>INDEX($BC$58:$BP$60,MATCH($CW60,$L$58:$L$60,0),MATCH(DM$59,$BC$59:$BP$59,0))/INDEX(고양시_재차인원!$D$4:$H$35,MATCH("고양시",고양시_재차인원!$B$4:$B$35,0),MATCH($DJ$58,고양시_재차인원!$D$4:$H$4,0))</f>
        <v>1.0857296058173604E-2</v>
      </c>
      <c r="DN60" s="267">
        <f>INDEX($BQ$58:$CD$60,MATCH($CW60,$L$58:$L$60,0),MATCH(DN$59,$BQ$59:$CD$59,0))/INDEX(고양시_재차인원!$D$4:$H$35,MATCH("고양시",고양시_재차인원!$B$4:$B$35,0),MATCH($DN$58,고양시_재차인원!$D$4:$H$4,0))</f>
        <v>0.68943684135158678</v>
      </c>
      <c r="DO60" s="267">
        <f>INDEX($BQ$58:$CD$60,MATCH($CW60,$L$58:$L$60,0),MATCH(DO$59,$BQ$59:$CD$59,0))/INDEX(고양시_재차인원!$K$4:$O$20,MATCH("경기도",고양시_재차인원!$K$4:$K$20,0),MATCH(DO$59,고양시_재차인원!$K$4:$O$4,0))</f>
        <v>6.4157641213766309E-6</v>
      </c>
      <c r="DP60" s="267">
        <f>INDEX($BQ$58:$CD$60,MATCH($CW60,$L$58:$L$60,0),MATCH(DP$59,$BQ$59:$CD$59,0))/INDEX(고양시_재차인원!$K$4:$O$20,MATCH("경기도",고양시_재차인원!$K$4:$K$20,0),MATCH(DP$59,고양시_재차인원!$K$4:$O$4,0))</f>
        <v>1.7835824257427034E-3</v>
      </c>
      <c r="DQ60" s="267">
        <f>INDEX($BQ$58:$CD$60,MATCH($CW60,$L$58:$L$60,0),MATCH(DQ$59,$BQ$59:$CD$59,0))/INDEX(고양시_재차인원!$D$4:$H$35,MATCH("고양시",고양시_재차인원!$B$4:$B$35,0),MATCH($DN$58,고양시_재차인원!$D$4:$H$4,0))</f>
        <v>4.4271725725745108E-2</v>
      </c>
      <c r="DR60" s="270">
        <f>CX60+DB60+DF60+DJ60+DN60</f>
        <v>2237.043298325088</v>
      </c>
      <c r="DS60" s="270">
        <f t="shared" ref="DS60:DU60" si="7">CY60+DC60+DG60+DK60+DO60</f>
        <v>2.2529521809048283E-2</v>
      </c>
      <c r="DT60" s="270">
        <f>CZ60+DD60+DH60+DL60+DP60</f>
        <v>6.2632070629154226</v>
      </c>
      <c r="DU60" s="270">
        <f t="shared" si="7"/>
        <v>143.65023944167055</v>
      </c>
      <c r="DW60" s="278"/>
      <c r="DX60" s="278" t="s">
        <v>744</v>
      </c>
      <c r="DY60" s="281">
        <f>DR60+DU60</f>
        <v>2380.6935377667587</v>
      </c>
      <c r="DZ60" s="281">
        <f>DS60+DT60</f>
        <v>6.2857365847244706</v>
      </c>
      <c r="EB60" s="278"/>
      <c r="EC60" s="278" t="s">
        <v>744</v>
      </c>
      <c r="ED60" s="281">
        <f>DY60</f>
        <v>2380.6935377667587</v>
      </c>
      <c r="EE60" s="281">
        <f t="shared" ref="EE60" si="8">DZ60</f>
        <v>6.2857365847244706</v>
      </c>
      <c r="EL60" s="420" t="s">
        <v>729</v>
      </c>
      <c r="EM60" s="420"/>
      <c r="EN60" s="420"/>
      <c r="EO60" s="420"/>
      <c r="EP60" s="421">
        <v>849201</v>
      </c>
      <c r="EQ60" s="422">
        <f>ED67</f>
        <v>2380.6935377667587</v>
      </c>
      <c r="ER60" s="422">
        <f>EE67</f>
        <v>6.2857365847244706</v>
      </c>
      <c r="ES60">
        <v>0</v>
      </c>
      <c r="EV60" s="306" t="s">
        <v>729</v>
      </c>
      <c r="EW60" s="306"/>
      <c r="EX60" s="306"/>
      <c r="EY60" s="306"/>
      <c r="EZ60" s="307">
        <v>849301</v>
      </c>
      <c r="FA60" s="308">
        <f>EQ60*$EU$10</f>
        <v>2380.6935377667587</v>
      </c>
      <c r="FB60" s="308">
        <f t="shared" ref="FB60" si="9">ER60*$EU$10</f>
        <v>6.2857365847244706</v>
      </c>
    </row>
    <row r="61" spans="1:164">
      <c r="A61" s="205"/>
      <c r="B61" s="205"/>
      <c r="C61" s="201"/>
      <c r="D61" s="201"/>
      <c r="E61" s="201"/>
      <c r="F61" s="201"/>
      <c r="G61" s="201"/>
      <c r="H61" s="201"/>
      <c r="J61" s="230"/>
      <c r="K61" s="206"/>
      <c r="L61" s="206"/>
      <c r="M61" s="206"/>
      <c r="N61" s="206"/>
      <c r="O61" s="206"/>
      <c r="P61" s="206"/>
      <c r="Q61" s="206"/>
      <c r="R61" s="206"/>
      <c r="S61" s="206"/>
      <c r="T61" s="206"/>
      <c r="U61" s="206"/>
      <c r="V61" s="206"/>
      <c r="W61" s="206"/>
      <c r="X61" s="206"/>
      <c r="Y61" s="206"/>
      <c r="Z61" s="209"/>
      <c r="AA61" s="207"/>
      <c r="AB61" s="207"/>
      <c r="AC61" s="207"/>
      <c r="AD61" s="207"/>
      <c r="AE61" s="207"/>
      <c r="AF61" s="207"/>
      <c r="AG61" s="207"/>
      <c r="AH61" s="207"/>
      <c r="AI61" s="207"/>
      <c r="AJ61" s="207"/>
      <c r="AK61" s="207"/>
      <c r="AL61" s="207"/>
      <c r="AM61" s="207"/>
      <c r="AN61" s="207"/>
      <c r="AO61" s="303"/>
      <c r="AP61" s="303"/>
      <c r="AQ61" s="303"/>
      <c r="AR61" s="303"/>
      <c r="AS61" s="303"/>
      <c r="AT61" s="303"/>
      <c r="AU61" s="303"/>
      <c r="AV61" s="303"/>
      <c r="AW61" s="303"/>
      <c r="AX61" s="303"/>
      <c r="AY61" s="303"/>
      <c r="AZ61" s="303"/>
      <c r="BA61" s="207"/>
      <c r="BB61" s="207"/>
      <c r="BC61" s="207"/>
      <c r="BD61" s="207"/>
      <c r="BE61" s="207"/>
      <c r="BF61" s="207"/>
      <c r="BG61" s="207"/>
      <c r="BH61" s="207"/>
      <c r="BI61" s="207"/>
      <c r="BJ61" s="207"/>
      <c r="BK61" s="207"/>
      <c r="BL61" s="207"/>
      <c r="BM61" s="207"/>
      <c r="BN61" s="207"/>
      <c r="BO61" s="207"/>
      <c r="BP61" s="207"/>
      <c r="BQ61" s="207"/>
      <c r="BR61" s="207"/>
      <c r="BS61" s="207"/>
      <c r="BT61" s="207"/>
      <c r="BU61" s="207"/>
      <c r="BV61" s="207"/>
      <c r="BW61" s="207"/>
      <c r="BX61" s="207"/>
      <c r="BY61" s="207"/>
      <c r="BZ61" s="207"/>
      <c r="CA61" s="207"/>
      <c r="CB61" s="207"/>
      <c r="CC61" s="207"/>
      <c r="CD61" s="207"/>
      <c r="CE61" s="304"/>
      <c r="CF61" s="304"/>
      <c r="CG61" s="304"/>
      <c r="CH61" s="304"/>
      <c r="CI61" s="304"/>
      <c r="CJ61" s="304"/>
      <c r="CK61" s="304"/>
      <c r="CL61" s="304"/>
      <c r="CM61" s="304"/>
      <c r="CN61" s="304"/>
      <c r="CO61" s="304"/>
      <c r="CP61" s="304"/>
      <c r="CQ61" s="304"/>
      <c r="CR61" s="304"/>
      <c r="CS61" s="305"/>
      <c r="CV61" s="265"/>
      <c r="CW61" s="265"/>
      <c r="CX61" s="267"/>
      <c r="CY61" s="267"/>
      <c r="CZ61" s="267"/>
      <c r="DA61" s="267"/>
      <c r="DB61" s="267"/>
      <c r="DC61" s="267"/>
      <c r="DD61" s="267"/>
      <c r="DE61" s="267"/>
      <c r="DF61" s="267"/>
      <c r="DG61" s="267"/>
      <c r="DH61" s="267"/>
      <c r="DI61" s="267"/>
      <c r="DJ61" s="267"/>
      <c r="DK61" s="267"/>
      <c r="DL61" s="267"/>
      <c r="DM61" s="267"/>
      <c r="DN61" s="267"/>
      <c r="DO61" s="267"/>
      <c r="DP61" s="267"/>
      <c r="DQ61" s="267"/>
      <c r="DR61" s="270"/>
      <c r="DS61" s="270"/>
      <c r="DT61" s="270"/>
      <c r="DU61" s="270"/>
      <c r="DW61" s="278"/>
      <c r="DX61" s="278"/>
      <c r="DY61" s="281"/>
      <c r="DZ61" s="281"/>
      <c r="EB61" s="278"/>
      <c r="EC61" s="278"/>
      <c r="ED61" s="281"/>
      <c r="EE61" s="281"/>
      <c r="FH61" s="277"/>
    </row>
    <row r="62" spans="1:164">
      <c r="A62" s="205"/>
      <c r="B62" s="205"/>
      <c r="C62" s="201"/>
      <c r="D62" s="201"/>
      <c r="E62" s="201"/>
      <c r="F62" s="201"/>
      <c r="G62" s="201"/>
      <c r="H62" s="201"/>
      <c r="J62" s="230"/>
      <c r="K62" s="206"/>
      <c r="L62" s="206"/>
      <c r="M62" s="206"/>
      <c r="N62" s="206"/>
      <c r="O62" s="206"/>
      <c r="P62" s="206"/>
      <c r="Q62" s="206"/>
      <c r="R62" s="206"/>
      <c r="S62" s="206"/>
      <c r="T62" s="206"/>
      <c r="U62" s="206"/>
      <c r="V62" s="206"/>
      <c r="W62" s="206"/>
      <c r="X62" s="206"/>
      <c r="Y62" s="206"/>
      <c r="Z62" s="209"/>
      <c r="AA62" s="207"/>
      <c r="AB62" s="207"/>
      <c r="AC62" s="207"/>
      <c r="AD62" s="207"/>
      <c r="AE62" s="207"/>
      <c r="AF62" s="207"/>
      <c r="AG62" s="207"/>
      <c r="AH62" s="207"/>
      <c r="AI62" s="207"/>
      <c r="AJ62" s="207"/>
      <c r="AK62" s="207"/>
      <c r="AL62" s="207"/>
      <c r="AM62" s="207"/>
      <c r="AN62" s="207"/>
      <c r="AO62" s="303"/>
      <c r="AP62" s="303"/>
      <c r="AQ62" s="303"/>
      <c r="AR62" s="303"/>
      <c r="AS62" s="303"/>
      <c r="AT62" s="303"/>
      <c r="AU62" s="303"/>
      <c r="AV62" s="303"/>
      <c r="AW62" s="303"/>
      <c r="AX62" s="303"/>
      <c r="AY62" s="303"/>
      <c r="AZ62" s="303"/>
      <c r="BA62" s="207"/>
      <c r="BB62" s="207"/>
      <c r="BC62" s="207"/>
      <c r="BD62" s="207"/>
      <c r="BE62" s="207"/>
      <c r="BF62" s="207"/>
      <c r="BG62" s="207"/>
      <c r="BH62" s="207"/>
      <c r="BI62" s="207"/>
      <c r="BJ62" s="207"/>
      <c r="BK62" s="207"/>
      <c r="BL62" s="207"/>
      <c r="BM62" s="207"/>
      <c r="BN62" s="207"/>
      <c r="BO62" s="207"/>
      <c r="BP62" s="207"/>
      <c r="BQ62" s="207"/>
      <c r="BR62" s="207"/>
      <c r="BS62" s="207"/>
      <c r="BT62" s="207"/>
      <c r="BU62" s="207"/>
      <c r="BV62" s="207"/>
      <c r="BW62" s="207"/>
      <c r="BX62" s="207"/>
      <c r="BY62" s="207"/>
      <c r="BZ62" s="207"/>
      <c r="CA62" s="207"/>
      <c r="CB62" s="207"/>
      <c r="CC62" s="207"/>
      <c r="CD62" s="207"/>
      <c r="CE62" s="304"/>
      <c r="CF62" s="304"/>
      <c r="CG62" s="304"/>
      <c r="CH62" s="304"/>
      <c r="CI62" s="304"/>
      <c r="CJ62" s="304"/>
      <c r="CK62" s="304"/>
      <c r="CL62" s="304"/>
      <c r="CM62" s="304"/>
      <c r="CN62" s="304"/>
      <c r="CO62" s="304"/>
      <c r="CP62" s="304"/>
      <c r="CQ62" s="304"/>
      <c r="CR62" s="304"/>
      <c r="CS62" s="305"/>
      <c r="CV62" s="265"/>
      <c r="CW62" s="265"/>
      <c r="CX62" s="267"/>
      <c r="CY62" s="267"/>
      <c r="CZ62" s="267"/>
      <c r="DA62" s="267"/>
      <c r="DB62" s="267"/>
      <c r="DC62" s="267"/>
      <c r="DD62" s="267"/>
      <c r="DE62" s="267"/>
      <c r="DF62" s="267"/>
      <c r="DG62" s="267"/>
      <c r="DH62" s="267"/>
      <c r="DI62" s="267"/>
      <c r="DJ62" s="267"/>
      <c r="DK62" s="267"/>
      <c r="DL62" s="267"/>
      <c r="DM62" s="267"/>
      <c r="DN62" s="267"/>
      <c r="DO62" s="267"/>
      <c r="DP62" s="267"/>
      <c r="DQ62" s="267"/>
      <c r="DR62" s="270"/>
      <c r="DS62" s="270"/>
      <c r="DT62" s="270"/>
      <c r="DU62" s="270"/>
      <c r="DW62" s="278"/>
      <c r="DX62" s="278"/>
      <c r="DY62" s="281"/>
      <c r="DZ62" s="281"/>
      <c r="EB62" s="278"/>
      <c r="EC62" s="278"/>
      <c r="ED62" s="281"/>
      <c r="EE62" s="281"/>
      <c r="FH62" s="277"/>
    </row>
    <row r="63" spans="1:164">
      <c r="A63" s="205"/>
      <c r="B63" s="205"/>
      <c r="C63" s="201"/>
      <c r="D63" s="201"/>
      <c r="E63" s="201"/>
      <c r="F63" s="201"/>
      <c r="G63" s="201"/>
      <c r="H63" s="201"/>
      <c r="J63" s="230"/>
      <c r="K63" s="206"/>
      <c r="L63" s="206"/>
      <c r="M63" s="206"/>
      <c r="N63" s="206"/>
      <c r="O63" s="206"/>
      <c r="P63" s="206"/>
      <c r="Q63" s="206"/>
      <c r="R63" s="206"/>
      <c r="S63" s="206"/>
      <c r="T63" s="206"/>
      <c r="U63" s="206"/>
      <c r="V63" s="206"/>
      <c r="W63" s="206"/>
      <c r="X63" s="206"/>
      <c r="Y63" s="206"/>
      <c r="Z63" s="209"/>
      <c r="AA63" s="207"/>
      <c r="AB63" s="207"/>
      <c r="AC63" s="207"/>
      <c r="AD63" s="207"/>
      <c r="AE63" s="207"/>
      <c r="AF63" s="207"/>
      <c r="AG63" s="207"/>
      <c r="AH63" s="207"/>
      <c r="AI63" s="207"/>
      <c r="AJ63" s="207"/>
      <c r="AK63" s="207"/>
      <c r="AL63" s="207"/>
      <c r="AM63" s="207"/>
      <c r="AN63" s="207"/>
      <c r="AO63" s="303"/>
      <c r="AP63" s="303"/>
      <c r="AQ63" s="303"/>
      <c r="AR63" s="303"/>
      <c r="AS63" s="303"/>
      <c r="AT63" s="303"/>
      <c r="AU63" s="303"/>
      <c r="AV63" s="303"/>
      <c r="AW63" s="303"/>
      <c r="AX63" s="303"/>
      <c r="AY63" s="303"/>
      <c r="AZ63" s="303"/>
      <c r="BA63" s="207"/>
      <c r="BB63" s="207"/>
      <c r="BC63" s="207"/>
      <c r="BD63" s="207"/>
      <c r="BE63" s="207"/>
      <c r="BF63" s="207"/>
      <c r="BG63" s="207"/>
      <c r="BH63" s="207"/>
      <c r="BI63" s="207"/>
      <c r="BJ63" s="207"/>
      <c r="BK63" s="207"/>
      <c r="BL63" s="207"/>
      <c r="BM63" s="207"/>
      <c r="BN63" s="207"/>
      <c r="BO63" s="207"/>
      <c r="BP63" s="207"/>
      <c r="BQ63" s="207"/>
      <c r="BR63" s="207"/>
      <c r="BS63" s="207"/>
      <c r="BT63" s="207"/>
      <c r="BU63" s="207"/>
      <c r="BV63" s="207"/>
      <c r="BW63" s="207"/>
      <c r="BX63" s="207"/>
      <c r="BY63" s="207"/>
      <c r="BZ63" s="207"/>
      <c r="CA63" s="207"/>
      <c r="CB63" s="207"/>
      <c r="CC63" s="207"/>
      <c r="CD63" s="207"/>
      <c r="CE63" s="304"/>
      <c r="CF63" s="304"/>
      <c r="CG63" s="304"/>
      <c r="CH63" s="304"/>
      <c r="CI63" s="304"/>
      <c r="CJ63" s="304"/>
      <c r="CK63" s="304"/>
      <c r="CL63" s="304"/>
      <c r="CM63" s="304"/>
      <c r="CN63" s="304"/>
      <c r="CO63" s="304"/>
      <c r="CP63" s="304"/>
      <c r="CQ63" s="304"/>
      <c r="CR63" s="304"/>
      <c r="CS63" s="305"/>
      <c r="CV63" s="265"/>
      <c r="CW63" s="265"/>
      <c r="CX63" s="267"/>
      <c r="CY63" s="267"/>
      <c r="CZ63" s="267"/>
      <c r="DA63" s="267"/>
      <c r="DB63" s="267"/>
      <c r="DC63" s="267"/>
      <c r="DD63" s="267"/>
      <c r="DE63" s="267"/>
      <c r="DF63" s="267"/>
      <c r="DG63" s="267"/>
      <c r="DH63" s="267"/>
      <c r="DI63" s="267"/>
      <c r="DJ63" s="267"/>
      <c r="DK63" s="267"/>
      <c r="DL63" s="267"/>
      <c r="DM63" s="267"/>
      <c r="DN63" s="267"/>
      <c r="DO63" s="267"/>
      <c r="DP63" s="267"/>
      <c r="DQ63" s="267"/>
      <c r="DR63" s="270"/>
      <c r="DS63" s="270"/>
      <c r="DT63" s="270"/>
      <c r="DU63" s="270"/>
      <c r="DW63" s="278"/>
      <c r="DX63" s="278"/>
      <c r="DY63" s="281"/>
      <c r="DZ63" s="281"/>
      <c r="EB63" s="278"/>
      <c r="EC63" s="278"/>
      <c r="ED63" s="281"/>
      <c r="EE63" s="281"/>
      <c r="FH63" s="277"/>
    </row>
    <row r="64" spans="1:164">
      <c r="A64" s="205"/>
      <c r="B64" s="205"/>
      <c r="C64" s="201"/>
      <c r="D64" s="201"/>
      <c r="E64" s="201"/>
      <c r="F64" s="201"/>
      <c r="G64" s="201"/>
      <c r="H64" s="201"/>
      <c r="J64" s="230"/>
      <c r="K64" s="206"/>
      <c r="L64" s="206"/>
      <c r="M64" s="206"/>
      <c r="N64" s="206"/>
      <c r="O64" s="206"/>
      <c r="P64" s="206"/>
      <c r="Q64" s="206"/>
      <c r="R64" s="206"/>
      <c r="S64" s="206"/>
      <c r="T64" s="206"/>
      <c r="U64" s="206"/>
      <c r="V64" s="206"/>
      <c r="W64" s="206"/>
      <c r="X64" s="206"/>
      <c r="Y64" s="206"/>
      <c r="Z64" s="209"/>
      <c r="AA64" s="207"/>
      <c r="AB64" s="207"/>
      <c r="AC64" s="207"/>
      <c r="AD64" s="207"/>
      <c r="AE64" s="207"/>
      <c r="AF64" s="207"/>
      <c r="AG64" s="207"/>
      <c r="AH64" s="207"/>
      <c r="AI64" s="207"/>
      <c r="AJ64" s="207"/>
      <c r="AK64" s="207"/>
      <c r="AL64" s="207"/>
      <c r="AM64" s="207"/>
      <c r="AN64" s="207"/>
      <c r="AO64" s="303"/>
      <c r="AP64" s="303"/>
      <c r="AQ64" s="303"/>
      <c r="AR64" s="303"/>
      <c r="AS64" s="303"/>
      <c r="AT64" s="303"/>
      <c r="AU64" s="303"/>
      <c r="AV64" s="303"/>
      <c r="AW64" s="303"/>
      <c r="AX64" s="303"/>
      <c r="AY64" s="303"/>
      <c r="AZ64" s="303"/>
      <c r="BA64" s="207"/>
      <c r="BB64" s="207"/>
      <c r="BC64" s="207"/>
      <c r="BD64" s="207"/>
      <c r="BE64" s="207"/>
      <c r="BF64" s="207"/>
      <c r="BG64" s="207"/>
      <c r="BH64" s="207"/>
      <c r="BI64" s="207"/>
      <c r="BJ64" s="207"/>
      <c r="BK64" s="207"/>
      <c r="BL64" s="207"/>
      <c r="BM64" s="207"/>
      <c r="BN64" s="207"/>
      <c r="BO64" s="207"/>
      <c r="BP64" s="207"/>
      <c r="BQ64" s="207"/>
      <c r="BR64" s="207"/>
      <c r="BS64" s="207"/>
      <c r="BT64" s="207"/>
      <c r="BU64" s="207"/>
      <c r="BV64" s="207"/>
      <c r="BW64" s="207"/>
      <c r="BX64" s="207"/>
      <c r="BY64" s="207"/>
      <c r="BZ64" s="207"/>
      <c r="CA64" s="207"/>
      <c r="CB64" s="207"/>
      <c r="CC64" s="207"/>
      <c r="CD64" s="207"/>
      <c r="CE64" s="304"/>
      <c r="CF64" s="304"/>
      <c r="CG64" s="304"/>
      <c r="CH64" s="304"/>
      <c r="CI64" s="304"/>
      <c r="CJ64" s="304"/>
      <c r="CK64" s="304"/>
      <c r="CL64" s="304"/>
      <c r="CM64" s="304"/>
      <c r="CN64" s="304"/>
      <c r="CO64" s="304"/>
      <c r="CP64" s="304"/>
      <c r="CQ64" s="304"/>
      <c r="CR64" s="304"/>
      <c r="CS64" s="305"/>
      <c r="CV64" s="265"/>
      <c r="CW64" s="265"/>
      <c r="CX64" s="267"/>
      <c r="CY64" s="267"/>
      <c r="CZ64" s="267"/>
      <c r="DA64" s="267"/>
      <c r="DB64" s="267"/>
      <c r="DC64" s="267"/>
      <c r="DD64" s="267"/>
      <c r="DE64" s="267"/>
      <c r="DF64" s="267"/>
      <c r="DG64" s="267"/>
      <c r="DH64" s="267"/>
      <c r="DI64" s="267"/>
      <c r="DJ64" s="267"/>
      <c r="DK64" s="267"/>
      <c r="DL64" s="267"/>
      <c r="DM64" s="267"/>
      <c r="DN64" s="267"/>
      <c r="DO64" s="267"/>
      <c r="DP64" s="267"/>
      <c r="DQ64" s="267"/>
      <c r="DR64" s="270"/>
      <c r="DS64" s="270"/>
      <c r="DT64" s="270"/>
      <c r="DU64" s="270"/>
      <c r="DW64" s="278"/>
      <c r="DX64" s="278"/>
      <c r="DY64" s="281"/>
      <c r="DZ64" s="281"/>
      <c r="EB64" s="278"/>
      <c r="EC64" s="278"/>
      <c r="ED64" s="281"/>
      <c r="EE64" s="281"/>
      <c r="FH64" s="277"/>
    </row>
    <row r="65" spans="1:164">
      <c r="A65" s="205"/>
      <c r="B65" s="205"/>
      <c r="C65" s="201"/>
      <c r="D65" s="201"/>
      <c r="E65" s="201"/>
      <c r="F65" s="201"/>
      <c r="G65" s="201"/>
      <c r="H65" s="201"/>
      <c r="K65" s="206"/>
      <c r="L65" s="206"/>
      <c r="M65" s="206"/>
      <c r="N65" s="206"/>
      <c r="O65" s="206"/>
      <c r="P65" s="206"/>
      <c r="Q65" s="206"/>
      <c r="R65" s="206"/>
      <c r="S65" s="206"/>
      <c r="T65" s="206"/>
      <c r="U65" s="206"/>
      <c r="V65" s="206"/>
      <c r="W65" s="206"/>
      <c r="X65" s="206"/>
      <c r="Y65" s="206"/>
      <c r="Z65" s="209"/>
      <c r="AA65" s="207"/>
      <c r="AB65" s="207"/>
      <c r="AC65" s="207"/>
      <c r="AD65" s="207"/>
      <c r="AE65" s="207"/>
      <c r="AF65" s="207"/>
      <c r="AG65" s="207"/>
      <c r="AH65" s="207"/>
      <c r="AI65" s="207"/>
      <c r="AJ65" s="207"/>
      <c r="AK65" s="207"/>
      <c r="AL65" s="207"/>
      <c r="AM65" s="207"/>
      <c r="AN65" s="207"/>
      <c r="AO65" s="303"/>
      <c r="AP65" s="303"/>
      <c r="AQ65" s="303"/>
      <c r="AR65" s="303"/>
      <c r="AS65" s="303"/>
      <c r="AT65" s="303"/>
      <c r="AU65" s="303"/>
      <c r="AV65" s="303"/>
      <c r="AW65" s="303"/>
      <c r="AX65" s="303"/>
      <c r="AY65" s="303"/>
      <c r="AZ65" s="303"/>
      <c r="BA65" s="207"/>
      <c r="BB65" s="207"/>
      <c r="BC65" s="207"/>
      <c r="BD65" s="207"/>
      <c r="BE65" s="207"/>
      <c r="BF65" s="207"/>
      <c r="BG65" s="207"/>
      <c r="BH65" s="207"/>
      <c r="BI65" s="207"/>
      <c r="BJ65" s="207"/>
      <c r="BK65" s="207"/>
      <c r="BL65" s="207"/>
      <c r="BM65" s="207"/>
      <c r="BN65" s="207"/>
      <c r="BO65" s="207"/>
      <c r="BP65" s="207"/>
      <c r="BQ65" s="207"/>
      <c r="BR65" s="207"/>
      <c r="BS65" s="207"/>
      <c r="BT65" s="207"/>
      <c r="BU65" s="207"/>
      <c r="BV65" s="207"/>
      <c r="BW65" s="207"/>
      <c r="BX65" s="207"/>
      <c r="BY65" s="207"/>
      <c r="BZ65" s="207"/>
      <c r="CA65" s="207"/>
      <c r="CB65" s="207"/>
      <c r="CC65" s="207"/>
      <c r="CD65" s="207"/>
      <c r="CE65" s="304"/>
      <c r="CF65" s="304"/>
      <c r="CG65" s="304"/>
      <c r="CH65" s="304"/>
      <c r="CI65" s="304"/>
      <c r="CJ65" s="304"/>
      <c r="CK65" s="304"/>
      <c r="CL65" s="304"/>
      <c r="CM65" s="304"/>
      <c r="CN65" s="304"/>
      <c r="CO65" s="304"/>
      <c r="CP65" s="304"/>
      <c r="CQ65" s="304"/>
      <c r="CR65" s="304"/>
      <c r="CS65" s="305"/>
      <c r="CV65" s="267"/>
      <c r="CW65" s="267"/>
      <c r="CX65" s="267"/>
      <c r="CY65" s="267"/>
      <c r="CZ65" s="267"/>
      <c r="DA65" s="267"/>
      <c r="DB65" s="267"/>
      <c r="DC65" s="267"/>
      <c r="DD65" s="267"/>
      <c r="DE65" s="267"/>
      <c r="DF65" s="267"/>
      <c r="DG65" s="267"/>
      <c r="DH65" s="267"/>
      <c r="DI65" s="267"/>
      <c r="DJ65" s="267"/>
      <c r="DK65" s="267"/>
      <c r="DL65" s="267"/>
      <c r="DM65" s="267"/>
      <c r="DN65" s="267"/>
      <c r="DO65" s="267"/>
      <c r="DP65" s="267"/>
      <c r="DQ65" s="267"/>
      <c r="DR65" s="270"/>
      <c r="DS65" s="270"/>
      <c r="DT65" s="270"/>
      <c r="DU65" s="270"/>
      <c r="DW65" s="278"/>
      <c r="DX65" s="278"/>
      <c r="DY65" s="281"/>
      <c r="DZ65" s="281"/>
      <c r="EB65" s="278"/>
      <c r="EC65" s="278"/>
      <c r="ED65" s="281"/>
      <c r="EE65" s="281"/>
      <c r="FH65" s="277"/>
    </row>
    <row r="66" spans="1:164">
      <c r="A66" s="205"/>
      <c r="B66" s="205"/>
      <c r="C66" s="201"/>
      <c r="D66" s="201"/>
      <c r="E66" s="201"/>
      <c r="F66" s="201"/>
      <c r="G66" s="201"/>
      <c r="H66" s="201"/>
      <c r="I66" s="56"/>
      <c r="J66" s="56"/>
      <c r="K66" s="206"/>
      <c r="L66" s="206"/>
      <c r="M66" s="206"/>
      <c r="N66" s="206"/>
      <c r="O66" s="206"/>
      <c r="P66" s="206"/>
      <c r="Q66" s="206"/>
      <c r="R66" s="206"/>
      <c r="S66" s="206"/>
      <c r="T66" s="206"/>
      <c r="U66" s="206"/>
      <c r="V66" s="206"/>
      <c r="W66" s="206"/>
      <c r="X66" s="206"/>
      <c r="Y66" s="206"/>
      <c r="Z66" s="209"/>
      <c r="AA66" s="207"/>
      <c r="AB66" s="207"/>
      <c r="AC66" s="207"/>
      <c r="AD66" s="207"/>
      <c r="AE66" s="207"/>
      <c r="AF66" s="207"/>
      <c r="AG66" s="207"/>
      <c r="AH66" s="207"/>
      <c r="AI66" s="207"/>
      <c r="AJ66" s="207"/>
      <c r="AK66" s="207"/>
      <c r="AL66" s="207"/>
      <c r="AM66" s="207"/>
      <c r="AN66" s="207"/>
      <c r="AO66" s="303"/>
      <c r="AP66" s="303"/>
      <c r="AQ66" s="303"/>
      <c r="AR66" s="303"/>
      <c r="AS66" s="303"/>
      <c r="AT66" s="303"/>
      <c r="AU66" s="303"/>
      <c r="AV66" s="303"/>
      <c r="AW66" s="303"/>
      <c r="AX66" s="303"/>
      <c r="AY66" s="303"/>
      <c r="AZ66" s="303"/>
      <c r="BA66" s="207"/>
      <c r="BB66" s="207"/>
      <c r="BC66" s="207"/>
      <c r="BD66" s="207"/>
      <c r="BE66" s="207"/>
      <c r="BF66" s="207"/>
      <c r="BG66" s="207"/>
      <c r="BH66" s="207"/>
      <c r="BI66" s="207"/>
      <c r="BJ66" s="207"/>
      <c r="BK66" s="207"/>
      <c r="BL66" s="207"/>
      <c r="BM66" s="207"/>
      <c r="BN66" s="207"/>
      <c r="BO66" s="207"/>
      <c r="BP66" s="207"/>
      <c r="BQ66" s="207"/>
      <c r="BR66" s="207"/>
      <c r="BS66" s="207"/>
      <c r="BT66" s="207"/>
      <c r="BU66" s="207"/>
      <c r="BV66" s="207"/>
      <c r="BW66" s="207"/>
      <c r="BX66" s="207"/>
      <c r="BY66" s="207"/>
      <c r="BZ66" s="207"/>
      <c r="CA66" s="207"/>
      <c r="CB66" s="207"/>
      <c r="CC66" s="207"/>
      <c r="CD66" s="207"/>
      <c r="CE66" s="304"/>
      <c r="CF66" s="304"/>
      <c r="CG66" s="304"/>
      <c r="CH66" s="304"/>
      <c r="CI66" s="304"/>
      <c r="CJ66" s="304"/>
      <c r="CK66" s="304"/>
      <c r="CL66" s="304"/>
      <c r="CM66" s="304"/>
      <c r="CN66" s="304"/>
      <c r="CO66" s="304"/>
      <c r="CP66" s="304"/>
      <c r="CQ66" s="304"/>
      <c r="CR66" s="304"/>
      <c r="CS66" s="305"/>
      <c r="CV66" s="267"/>
      <c r="CW66" s="267"/>
      <c r="CX66" s="267"/>
      <c r="CY66" s="267"/>
      <c r="CZ66" s="267"/>
      <c r="DA66" s="267"/>
      <c r="DB66" s="267"/>
      <c r="DC66" s="267"/>
      <c r="DD66" s="267"/>
      <c r="DE66" s="267"/>
      <c r="DF66" s="267"/>
      <c r="DG66" s="267"/>
      <c r="DH66" s="267"/>
      <c r="DI66" s="267"/>
      <c r="DJ66" s="267"/>
      <c r="DK66" s="267"/>
      <c r="DL66" s="267"/>
      <c r="DM66" s="267"/>
      <c r="DN66" s="267"/>
      <c r="DO66" s="267"/>
      <c r="DP66" s="267"/>
      <c r="DQ66" s="267"/>
      <c r="DR66" s="270"/>
      <c r="DS66" s="270"/>
      <c r="DT66" s="270"/>
      <c r="DU66" s="270"/>
      <c r="DW66" s="278"/>
      <c r="DX66" s="278"/>
      <c r="DY66" s="281"/>
      <c r="DZ66" s="281"/>
      <c r="EB66" s="278"/>
      <c r="EC66" s="278"/>
      <c r="ED66" s="281"/>
      <c r="EE66" s="281"/>
      <c r="FH66" s="277"/>
    </row>
    <row r="67" spans="1:164">
      <c r="H67">
        <f>SUM(H60:H66)</f>
        <v>6486.2493288250007</v>
      </c>
      <c r="I67" t="b">
        <f>H67=L7*(1+KTDB_발생량도착량_증가율!C8*5)</f>
        <v>1</v>
      </c>
      <c r="DX67" s="278" t="s">
        <v>26</v>
      </c>
      <c r="DY67" s="281">
        <f>SUM(DY60:DY66)</f>
        <v>2380.6935377667587</v>
      </c>
      <c r="DZ67" s="281">
        <f>SUM(DZ60:DZ66)</f>
        <v>6.2857365847244706</v>
      </c>
      <c r="EC67" s="278" t="s">
        <v>26</v>
      </c>
      <c r="ED67" s="281">
        <f>DY67</f>
        <v>2380.6935377667587</v>
      </c>
      <c r="EE67" s="281">
        <f>DZ67</f>
        <v>6.2857365847244706</v>
      </c>
    </row>
  </sheetData>
  <mergeCells count="34">
    <mergeCell ref="DF58:DI58"/>
    <mergeCell ref="DJ58:DM58"/>
    <mergeCell ref="DN58:DQ58"/>
    <mergeCell ref="DR58:DU58"/>
    <mergeCell ref="DY58:DZ58"/>
    <mergeCell ref="ED58:EE58"/>
    <mergeCell ref="DY15:DZ15"/>
    <mergeCell ref="ED15:EE15"/>
    <mergeCell ref="M58:Z58"/>
    <mergeCell ref="AA58:AN58"/>
    <mergeCell ref="AO58:BB58"/>
    <mergeCell ref="BC58:BP58"/>
    <mergeCell ref="BQ58:CD58"/>
    <mergeCell ref="CE58:CR58"/>
    <mergeCell ref="CX58:DA58"/>
    <mergeCell ref="DB58:DE58"/>
    <mergeCell ref="CX15:DA15"/>
    <mergeCell ref="DB15:DE15"/>
    <mergeCell ref="DF15:DI15"/>
    <mergeCell ref="DJ15:DM15"/>
    <mergeCell ref="DN15:DQ15"/>
    <mergeCell ref="DR15:DU15"/>
    <mergeCell ref="M15:Z15"/>
    <mergeCell ref="AA15:AN15"/>
    <mergeCell ref="AO15:BB15"/>
    <mergeCell ref="BC15:BP15"/>
    <mergeCell ref="BQ15:CD15"/>
    <mergeCell ref="CE15:CR15"/>
    <mergeCell ref="B4:C4"/>
    <mergeCell ref="D4:E4"/>
    <mergeCell ref="H4:I4"/>
    <mergeCell ref="J4:K4"/>
    <mergeCell ref="L4:M4"/>
    <mergeCell ref="F4:G4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H87"/>
  <sheetViews>
    <sheetView zoomScale="85" zoomScaleNormal="85" workbookViewId="0">
      <selection activeCell="J11" sqref="J11"/>
    </sheetView>
  </sheetViews>
  <sheetFormatPr defaultRowHeight="17"/>
  <cols>
    <col min="1" max="1" width="33.08203125" customWidth="1"/>
    <col min="2" max="14" width="8.83203125" customWidth="1"/>
    <col min="26" max="26" width="10.58203125" bestFit="1" customWidth="1"/>
    <col min="27" max="27" width="10.08203125" bestFit="1" customWidth="1"/>
  </cols>
  <sheetData>
    <row r="1" spans="1:26">
      <c r="A1" s="32" t="s">
        <v>234</v>
      </c>
      <c r="B1" t="s">
        <v>400</v>
      </c>
      <c r="V1" s="32" t="s">
        <v>242</v>
      </c>
      <c r="W1" t="s">
        <v>241</v>
      </c>
    </row>
    <row r="2" spans="1:26">
      <c r="B2" t="s">
        <v>153</v>
      </c>
      <c r="C2" t="s">
        <v>399</v>
      </c>
      <c r="W2" t="s">
        <v>239</v>
      </c>
    </row>
    <row r="3" spans="1:26">
      <c r="B3" t="s">
        <v>401</v>
      </c>
      <c r="W3" t="s">
        <v>238</v>
      </c>
    </row>
    <row r="5" spans="1:26" ht="51.5" thickBot="1">
      <c r="A5" s="163" t="s">
        <v>697</v>
      </c>
      <c r="B5" t="s">
        <v>698</v>
      </c>
    </row>
    <row r="6" spans="1:26" ht="24" thickTop="1" thickBot="1">
      <c r="A6" s="463" t="s">
        <v>700</v>
      </c>
      <c r="B6" s="464"/>
      <c r="C6" s="472" t="s">
        <v>687</v>
      </c>
      <c r="D6" s="467" t="s">
        <v>688</v>
      </c>
      <c r="E6" s="468"/>
      <c r="F6" s="469"/>
      <c r="H6" s="351"/>
      <c r="K6" t="s">
        <v>699</v>
      </c>
      <c r="M6" t="s">
        <v>725</v>
      </c>
      <c r="N6" t="s">
        <v>726</v>
      </c>
      <c r="T6" t="s">
        <v>422</v>
      </c>
    </row>
    <row r="7" spans="1:26" ht="18" thickTop="1" thickBot="1">
      <c r="A7" s="465"/>
      <c r="B7" s="466"/>
      <c r="C7" s="473"/>
      <c r="D7" s="336" t="s">
        <v>9</v>
      </c>
      <c r="E7" s="336" t="s">
        <v>10</v>
      </c>
      <c r="F7" s="337" t="s">
        <v>11</v>
      </c>
      <c r="N7" t="s">
        <v>9</v>
      </c>
      <c r="O7" t="s">
        <v>10</v>
      </c>
      <c r="P7" t="s">
        <v>11</v>
      </c>
      <c r="T7" s="451" t="s">
        <v>175</v>
      </c>
      <c r="U7" s="452"/>
      <c r="V7" s="453"/>
      <c r="W7" s="173" t="s">
        <v>156</v>
      </c>
      <c r="X7" s="174" t="s">
        <v>157</v>
      </c>
      <c r="Y7" t="s">
        <v>258</v>
      </c>
      <c r="Z7" t="s">
        <v>424</v>
      </c>
    </row>
    <row r="8" spans="1:26" ht="29.5" thickTop="1">
      <c r="A8" s="331" t="s">
        <v>702</v>
      </c>
      <c r="B8" s="177" t="s">
        <v>689</v>
      </c>
      <c r="C8" s="338">
        <v>19865.32</v>
      </c>
      <c r="D8" s="339">
        <f>N8/2</f>
        <v>431</v>
      </c>
      <c r="E8" s="339">
        <f t="shared" ref="E8:E10" si="0">O8/2</f>
        <v>453</v>
      </c>
      <c r="F8" s="340">
        <f t="shared" ref="F8:F10" si="1">P8/2</f>
        <v>884</v>
      </c>
      <c r="K8" t="s">
        <v>701</v>
      </c>
      <c r="L8" t="s">
        <v>707</v>
      </c>
      <c r="M8">
        <v>19865.32</v>
      </c>
      <c r="N8">
        <v>862</v>
      </c>
      <c r="O8">
        <v>906</v>
      </c>
      <c r="P8">
        <v>1768</v>
      </c>
      <c r="T8" s="454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</row>
    <row r="9" spans="1:26">
      <c r="A9" s="330" t="s">
        <v>701</v>
      </c>
      <c r="B9" s="180" t="s">
        <v>14</v>
      </c>
      <c r="C9" s="341">
        <v>26730.62</v>
      </c>
      <c r="D9" s="342">
        <f t="shared" ref="D9:D10" si="2">N9/2</f>
        <v>819</v>
      </c>
      <c r="E9" s="342">
        <f t="shared" si="0"/>
        <v>5665</v>
      </c>
      <c r="F9" s="343">
        <f t="shared" si="1"/>
        <v>6484</v>
      </c>
      <c r="K9" t="s">
        <v>701</v>
      </c>
      <c r="L9" t="s">
        <v>14</v>
      </c>
      <c r="M9">
        <v>26730.62</v>
      </c>
      <c r="N9">
        <v>1638</v>
      </c>
      <c r="O9">
        <v>11330</v>
      </c>
      <c r="P9">
        <v>12968</v>
      </c>
      <c r="T9" s="455"/>
      <c r="U9" s="176" t="s">
        <v>415</v>
      </c>
      <c r="V9" s="180" t="s">
        <v>10</v>
      </c>
      <c r="W9" s="167">
        <v>2.25</v>
      </c>
      <c r="X9" s="168">
        <v>2.09</v>
      </c>
    </row>
    <row r="10" spans="1:26" ht="29">
      <c r="A10" s="14" t="s">
        <v>701</v>
      </c>
      <c r="B10" s="180" t="s">
        <v>690</v>
      </c>
      <c r="C10" s="341">
        <v>26730.62</v>
      </c>
      <c r="D10" s="344">
        <f t="shared" si="2"/>
        <v>157</v>
      </c>
      <c r="E10" s="342">
        <f t="shared" si="0"/>
        <v>1647</v>
      </c>
      <c r="F10" s="343">
        <f t="shared" si="1"/>
        <v>1804</v>
      </c>
      <c r="K10" t="s">
        <v>701</v>
      </c>
      <c r="L10" t="s">
        <v>708</v>
      </c>
      <c r="M10">
        <v>26730.62</v>
      </c>
      <c r="N10">
        <v>314</v>
      </c>
      <c r="O10">
        <v>3294</v>
      </c>
      <c r="P10">
        <v>3608</v>
      </c>
      <c r="T10" s="455"/>
      <c r="U10" s="313" t="s">
        <v>168</v>
      </c>
      <c r="V10" s="457" t="s">
        <v>10</v>
      </c>
      <c r="W10" s="459">
        <v>1.55</v>
      </c>
      <c r="X10" s="447">
        <v>1</v>
      </c>
    </row>
    <row r="11" spans="1:26" ht="17.5" thickBot="1">
      <c r="A11" s="474" t="s">
        <v>160</v>
      </c>
      <c r="B11" s="475"/>
      <c r="C11" s="345" t="s">
        <v>22</v>
      </c>
      <c r="D11" s="346">
        <v>2814</v>
      </c>
      <c r="E11" s="346">
        <v>15530</v>
      </c>
      <c r="F11" s="347">
        <v>18344</v>
      </c>
      <c r="K11" t="s">
        <v>160</v>
      </c>
      <c r="M11" t="s">
        <v>22</v>
      </c>
      <c r="N11">
        <v>2814</v>
      </c>
      <c r="O11">
        <v>15530</v>
      </c>
      <c r="P11">
        <v>18344</v>
      </c>
      <c r="T11" s="455"/>
      <c r="U11" s="176" t="s">
        <v>416</v>
      </c>
      <c r="V11" s="458"/>
      <c r="W11" s="460"/>
      <c r="X11" s="448"/>
    </row>
    <row r="12" spans="1:26" ht="17.5" customHeight="1" thickTop="1">
      <c r="A12" s="463" t="s">
        <v>706</v>
      </c>
      <c r="B12" s="464"/>
      <c r="C12" s="335" t="s">
        <v>692</v>
      </c>
      <c r="D12" s="467" t="s">
        <v>688</v>
      </c>
      <c r="E12" s="468"/>
      <c r="F12" s="469"/>
      <c r="K12" t="s">
        <v>705</v>
      </c>
      <c r="M12" t="s">
        <v>727</v>
      </c>
      <c r="N12" t="s">
        <v>726</v>
      </c>
      <c r="T12" s="455"/>
      <c r="U12" s="313" t="s">
        <v>168</v>
      </c>
      <c r="V12" s="180" t="s">
        <v>9</v>
      </c>
      <c r="W12" s="167">
        <v>1.1599999999999999</v>
      </c>
      <c r="X12" s="168">
        <v>1</v>
      </c>
    </row>
    <row r="13" spans="1:26" ht="29.5" thickBot="1">
      <c r="A13" s="465"/>
      <c r="B13" s="466"/>
      <c r="C13" s="349" t="s">
        <v>691</v>
      </c>
      <c r="D13" s="336" t="s">
        <v>9</v>
      </c>
      <c r="E13" s="336" t="s">
        <v>10</v>
      </c>
      <c r="F13" s="337" t="s">
        <v>11</v>
      </c>
      <c r="M13" t="s">
        <v>728</v>
      </c>
      <c r="N13" t="s">
        <v>9</v>
      </c>
      <c r="O13" t="s">
        <v>10</v>
      </c>
      <c r="P13" t="s">
        <v>11</v>
      </c>
      <c r="T13" s="455"/>
      <c r="U13" s="176" t="s">
        <v>417</v>
      </c>
      <c r="V13" s="180" t="s">
        <v>10</v>
      </c>
      <c r="W13" s="167">
        <v>1.57</v>
      </c>
      <c r="X13" s="168">
        <v>1.43</v>
      </c>
    </row>
    <row r="14" spans="1:26" ht="29.5" thickTop="1">
      <c r="A14" s="331" t="s">
        <v>704</v>
      </c>
      <c r="B14" s="177" t="s">
        <v>693</v>
      </c>
      <c r="C14" s="338">
        <v>12296.01</v>
      </c>
      <c r="D14" s="339">
        <f t="shared" ref="D14:D17" si="3">N14/2</f>
        <v>0</v>
      </c>
      <c r="E14" s="339">
        <f t="shared" ref="E14:E17" si="4">O14/2</f>
        <v>224</v>
      </c>
      <c r="F14" s="179">
        <f t="shared" ref="F14:F17" si="5">P14/2</f>
        <v>224</v>
      </c>
      <c r="K14" t="s">
        <v>703</v>
      </c>
      <c r="L14" t="s">
        <v>709</v>
      </c>
      <c r="M14">
        <v>12296.01</v>
      </c>
      <c r="N14">
        <v>0</v>
      </c>
      <c r="O14">
        <v>448</v>
      </c>
      <c r="P14">
        <v>448</v>
      </c>
      <c r="T14" s="455"/>
      <c r="U14" s="449" t="s">
        <v>14</v>
      </c>
      <c r="V14" s="180" t="s">
        <v>9</v>
      </c>
      <c r="W14" s="167">
        <v>1.42</v>
      </c>
      <c r="X14" s="168">
        <v>1.41</v>
      </c>
    </row>
    <row r="15" spans="1:26">
      <c r="A15" s="330" t="s">
        <v>703</v>
      </c>
      <c r="B15" s="180" t="s">
        <v>694</v>
      </c>
      <c r="C15" s="341">
        <v>14081.18</v>
      </c>
      <c r="D15" s="344">
        <f t="shared" si="3"/>
        <v>431</v>
      </c>
      <c r="E15" s="342">
        <f t="shared" si="4"/>
        <v>2984</v>
      </c>
      <c r="F15" s="343">
        <f t="shared" si="5"/>
        <v>3415</v>
      </c>
      <c r="K15" t="s">
        <v>703</v>
      </c>
      <c r="L15" t="s">
        <v>694</v>
      </c>
      <c r="M15">
        <v>14081.18</v>
      </c>
      <c r="N15">
        <v>862</v>
      </c>
      <c r="O15">
        <v>5968</v>
      </c>
      <c r="P15">
        <v>6830</v>
      </c>
      <c r="T15" s="455"/>
      <c r="U15" s="450"/>
      <c r="V15" s="180" t="s">
        <v>10</v>
      </c>
      <c r="W15" s="167">
        <v>1.82</v>
      </c>
      <c r="X15" s="168">
        <v>1.82</v>
      </c>
    </row>
    <row r="16" spans="1:26" ht="29">
      <c r="A16" s="348" t="s">
        <v>703</v>
      </c>
      <c r="B16" s="180" t="s">
        <v>690</v>
      </c>
      <c r="C16" s="341">
        <v>8497</v>
      </c>
      <c r="D16" s="344">
        <f t="shared" si="3"/>
        <v>50</v>
      </c>
      <c r="E16" s="342">
        <f t="shared" si="4"/>
        <v>524</v>
      </c>
      <c r="F16" s="343">
        <f t="shared" si="5"/>
        <v>574</v>
      </c>
      <c r="K16" t="s">
        <v>703</v>
      </c>
      <c r="L16" t="s">
        <v>708</v>
      </c>
      <c r="M16">
        <v>8497</v>
      </c>
      <c r="N16">
        <v>100</v>
      </c>
      <c r="O16">
        <v>1048</v>
      </c>
      <c r="P16">
        <v>1148</v>
      </c>
      <c r="T16" s="455"/>
      <c r="U16" s="313" t="s">
        <v>418</v>
      </c>
      <c r="V16" s="180" t="s">
        <v>9</v>
      </c>
      <c r="W16" s="167">
        <v>3.1</v>
      </c>
      <c r="X16" s="168">
        <v>2.31</v>
      </c>
    </row>
    <row r="17" spans="1:139" ht="41">
      <c r="A17" s="348" t="s">
        <v>703</v>
      </c>
      <c r="B17" s="180" t="s">
        <v>695</v>
      </c>
      <c r="C17" s="350">
        <v>15000</v>
      </c>
      <c r="D17" s="344">
        <f t="shared" si="3"/>
        <v>300</v>
      </c>
      <c r="E17" s="342">
        <f t="shared" si="4"/>
        <v>8400</v>
      </c>
      <c r="F17" s="343">
        <f t="shared" si="5"/>
        <v>8700</v>
      </c>
      <c r="K17" t="s">
        <v>703</v>
      </c>
      <c r="L17" t="s">
        <v>710</v>
      </c>
      <c r="M17">
        <v>15000</v>
      </c>
      <c r="N17">
        <v>600</v>
      </c>
      <c r="O17">
        <v>16800</v>
      </c>
      <c r="P17">
        <v>17400</v>
      </c>
      <c r="T17" s="456"/>
      <c r="U17" s="176" t="s">
        <v>419</v>
      </c>
      <c r="V17" s="180" t="s">
        <v>10</v>
      </c>
      <c r="W17" s="167">
        <v>3.1</v>
      </c>
      <c r="X17" s="168">
        <v>2.31</v>
      </c>
    </row>
    <row r="18" spans="1:139" ht="24">
      <c r="A18" s="14" t="s">
        <v>703</v>
      </c>
      <c r="T18" s="461" t="s">
        <v>420</v>
      </c>
      <c r="U18" s="313" t="s">
        <v>414</v>
      </c>
      <c r="V18" s="180" t="s">
        <v>9</v>
      </c>
      <c r="W18" s="167">
        <v>2.25</v>
      </c>
      <c r="X18" s="168">
        <v>2.09</v>
      </c>
    </row>
    <row r="19" spans="1:139" ht="17.5" thickBot="1">
      <c r="A19" s="470" t="s">
        <v>696</v>
      </c>
      <c r="B19" s="471"/>
      <c r="C19" s="345" t="s">
        <v>22</v>
      </c>
      <c r="D19" s="346">
        <v>1562</v>
      </c>
      <c r="E19" s="346">
        <v>24264</v>
      </c>
      <c r="F19" s="347">
        <v>25826</v>
      </c>
      <c r="T19" s="455"/>
      <c r="U19" s="176" t="s">
        <v>415</v>
      </c>
      <c r="V19" s="180" t="s">
        <v>10</v>
      </c>
      <c r="W19" s="167">
        <v>2.25</v>
      </c>
      <c r="X19" s="168">
        <v>2.09</v>
      </c>
    </row>
    <row r="20" spans="1:139" ht="17.5" thickTop="1">
      <c r="T20" s="455"/>
      <c r="U20" s="313" t="s">
        <v>168</v>
      </c>
      <c r="V20" s="457" t="s">
        <v>10</v>
      </c>
      <c r="W20" s="459">
        <v>1.55</v>
      </c>
      <c r="X20" s="447">
        <v>1</v>
      </c>
    </row>
    <row r="21" spans="1:139">
      <c r="T21" s="455"/>
      <c r="U21" s="176" t="s">
        <v>416</v>
      </c>
      <c r="V21" s="458"/>
      <c r="W21" s="460"/>
      <c r="X21" s="448"/>
    </row>
    <row r="22" spans="1:139">
      <c r="T22" s="455"/>
      <c r="U22" s="313" t="s">
        <v>168</v>
      </c>
      <c r="V22" s="180" t="s">
        <v>9</v>
      </c>
      <c r="W22" s="167">
        <v>1.2</v>
      </c>
      <c r="X22" s="168">
        <v>1.25</v>
      </c>
    </row>
    <row r="23" spans="1:139" ht="29">
      <c r="T23" s="455"/>
      <c r="U23" s="176" t="s">
        <v>417</v>
      </c>
      <c r="V23" s="180" t="s">
        <v>10</v>
      </c>
      <c r="W23" s="167">
        <v>1.64</v>
      </c>
      <c r="X23" s="168">
        <v>1.67</v>
      </c>
    </row>
    <row r="24" spans="1:139">
      <c r="T24" s="455"/>
      <c r="U24" s="449" t="s">
        <v>14</v>
      </c>
      <c r="V24" s="180" t="s">
        <v>9</v>
      </c>
      <c r="W24" s="167">
        <v>1.43</v>
      </c>
      <c r="X24" s="168">
        <v>1.41</v>
      </c>
    </row>
    <row r="25" spans="1:139">
      <c r="T25" s="455"/>
      <c r="U25" s="450"/>
      <c r="V25" s="180" t="s">
        <v>10</v>
      </c>
      <c r="W25" s="167">
        <v>1.96</v>
      </c>
      <c r="X25" s="168">
        <v>1.91</v>
      </c>
    </row>
    <row r="26" spans="1:139">
      <c r="T26" s="455"/>
      <c r="U26" s="313" t="s">
        <v>418</v>
      </c>
      <c r="V26" s="180" t="s">
        <v>9</v>
      </c>
      <c r="W26" s="167">
        <v>3.5</v>
      </c>
      <c r="X26" s="168">
        <v>2.02</v>
      </c>
    </row>
    <row r="27" spans="1:139" ht="17.5" thickBot="1">
      <c r="T27" s="462"/>
      <c r="U27" s="182" t="s">
        <v>419</v>
      </c>
      <c r="V27" s="183" t="s">
        <v>10</v>
      </c>
      <c r="W27" s="184">
        <v>3.5</v>
      </c>
      <c r="X27" s="185">
        <v>2.02</v>
      </c>
      <c r="EI27" s="32" t="s">
        <v>864</v>
      </c>
    </row>
    <row r="28" spans="1:139" ht="17.5" thickTop="1">
      <c r="K28" s="403"/>
      <c r="L28" s="32" t="s">
        <v>852</v>
      </c>
      <c r="EH28" s="279"/>
      <c r="EI28" s="279" t="s">
        <v>602</v>
      </c>
    </row>
    <row r="29" spans="1:139">
      <c r="EH29" s="279" t="s">
        <v>603</v>
      </c>
      <c r="EI29" s="293">
        <v>1</v>
      </c>
    </row>
    <row r="32" spans="1:139" s="227" customFormat="1" ht="19.5">
      <c r="A32" s="329">
        <v>2025</v>
      </c>
      <c r="B32" s="282"/>
      <c r="C32" s="283"/>
      <c r="D32" s="284"/>
      <c r="E32" s="284"/>
      <c r="F32" s="284"/>
      <c r="G32" s="284"/>
      <c r="H32" s="284"/>
      <c r="I32" s="284"/>
      <c r="K32" s="282"/>
      <c r="L32" s="282"/>
      <c r="M32" s="283"/>
      <c r="N32" s="284"/>
      <c r="O32" s="284"/>
      <c r="P32" s="284"/>
      <c r="Q32" s="284"/>
      <c r="R32" s="284"/>
      <c r="S32" s="284"/>
    </row>
    <row r="33" spans="1:157" ht="23.5" thickBot="1">
      <c r="A33" s="32" t="s">
        <v>469</v>
      </c>
      <c r="C33" t="s">
        <v>464</v>
      </c>
      <c r="D33" t="s">
        <v>468</v>
      </c>
      <c r="E33" t="s">
        <v>471</v>
      </c>
      <c r="F33" t="s">
        <v>466</v>
      </c>
      <c r="G33" t="s">
        <v>467</v>
      </c>
      <c r="H33" t="s">
        <v>21</v>
      </c>
      <c r="K33" s="32" t="s">
        <v>472</v>
      </c>
      <c r="CV33" s="32" t="s">
        <v>493</v>
      </c>
      <c r="CY33" t="s">
        <v>479</v>
      </c>
      <c r="CZ33" t="s">
        <v>480</v>
      </c>
      <c r="EL33" s="353" t="s">
        <v>855</v>
      </c>
      <c r="EU33" s="353" t="s">
        <v>746</v>
      </c>
    </row>
    <row r="34" spans="1:157">
      <c r="A34" t="s">
        <v>463</v>
      </c>
      <c r="C34" t="s">
        <v>427</v>
      </c>
      <c r="D34" t="s">
        <v>428</v>
      </c>
      <c r="E34" t="s">
        <v>429</v>
      </c>
      <c r="F34" t="s">
        <v>430</v>
      </c>
      <c r="G34" t="s">
        <v>431</v>
      </c>
      <c r="H34" t="s">
        <v>457</v>
      </c>
      <c r="K34" s="159" t="s">
        <v>483</v>
      </c>
      <c r="L34" s="159"/>
      <c r="M34" s="441" t="s">
        <v>464</v>
      </c>
      <c r="N34" s="442"/>
      <c r="O34" s="442"/>
      <c r="P34" s="442"/>
      <c r="Q34" s="442"/>
      <c r="R34" s="442"/>
      <c r="S34" s="442"/>
      <c r="T34" s="442"/>
      <c r="U34" s="442"/>
      <c r="V34" s="442"/>
      <c r="W34" s="442"/>
      <c r="X34" s="442"/>
      <c r="Y34" s="442"/>
      <c r="Z34" s="443"/>
      <c r="AA34" s="441" t="s">
        <v>468</v>
      </c>
      <c r="AB34" s="442"/>
      <c r="AC34" s="442"/>
      <c r="AD34" s="442"/>
      <c r="AE34" s="442"/>
      <c r="AF34" s="442"/>
      <c r="AG34" s="442"/>
      <c r="AH34" s="442"/>
      <c r="AI34" s="442"/>
      <c r="AJ34" s="442"/>
      <c r="AK34" s="442"/>
      <c r="AL34" s="442"/>
      <c r="AM34" s="442"/>
      <c r="AN34" s="443"/>
      <c r="AO34" s="441" t="s">
        <v>465</v>
      </c>
      <c r="AP34" s="442"/>
      <c r="AQ34" s="442"/>
      <c r="AR34" s="442"/>
      <c r="AS34" s="442"/>
      <c r="AT34" s="442"/>
      <c r="AU34" s="442"/>
      <c r="AV34" s="442"/>
      <c r="AW34" s="442"/>
      <c r="AX34" s="442"/>
      <c r="AY34" s="442"/>
      <c r="AZ34" s="442"/>
      <c r="BA34" s="442"/>
      <c r="BB34" s="443"/>
      <c r="BC34" s="441" t="s">
        <v>466</v>
      </c>
      <c r="BD34" s="442"/>
      <c r="BE34" s="442"/>
      <c r="BF34" s="442"/>
      <c r="BG34" s="442"/>
      <c r="BH34" s="442"/>
      <c r="BI34" s="442"/>
      <c r="BJ34" s="442"/>
      <c r="BK34" s="442"/>
      <c r="BL34" s="442"/>
      <c r="BM34" s="442"/>
      <c r="BN34" s="442"/>
      <c r="BO34" s="442"/>
      <c r="BP34" s="443"/>
      <c r="BQ34" s="441" t="s">
        <v>467</v>
      </c>
      <c r="BR34" s="442"/>
      <c r="BS34" s="442"/>
      <c r="BT34" s="442"/>
      <c r="BU34" s="442"/>
      <c r="BV34" s="442"/>
      <c r="BW34" s="442"/>
      <c r="BX34" s="442"/>
      <c r="BY34" s="442"/>
      <c r="BZ34" s="442"/>
      <c r="CA34" s="442"/>
      <c r="CB34" s="442"/>
      <c r="CC34" s="442"/>
      <c r="CD34" s="443"/>
      <c r="CE34" s="441" t="s">
        <v>21</v>
      </c>
      <c r="CF34" s="442"/>
      <c r="CG34" s="442"/>
      <c r="CH34" s="442"/>
      <c r="CI34" s="442"/>
      <c r="CJ34" s="442"/>
      <c r="CK34" s="442"/>
      <c r="CL34" s="442"/>
      <c r="CM34" s="442"/>
      <c r="CN34" s="442"/>
      <c r="CO34" s="442"/>
      <c r="CP34" s="442"/>
      <c r="CQ34" s="442"/>
      <c r="CR34" s="443"/>
      <c r="CV34" s="263" t="s">
        <v>483</v>
      </c>
      <c r="CW34" s="263"/>
      <c r="CX34" s="445" t="s">
        <v>555</v>
      </c>
      <c r="CY34" s="439"/>
      <c r="CZ34" s="439"/>
      <c r="DA34" s="446"/>
      <c r="DB34" s="438" t="s">
        <v>554</v>
      </c>
      <c r="DC34" s="439"/>
      <c r="DD34" s="439"/>
      <c r="DE34" s="446"/>
      <c r="DF34" s="438" t="s">
        <v>465</v>
      </c>
      <c r="DG34" s="439"/>
      <c r="DH34" s="439"/>
      <c r="DI34" s="446"/>
      <c r="DJ34" s="438" t="s">
        <v>466</v>
      </c>
      <c r="DK34" s="439"/>
      <c r="DL34" s="439"/>
      <c r="DM34" s="446"/>
      <c r="DN34" s="438" t="s">
        <v>467</v>
      </c>
      <c r="DO34" s="439"/>
      <c r="DP34" s="439"/>
      <c r="DQ34" s="446"/>
      <c r="DR34" s="438" t="s">
        <v>21</v>
      </c>
      <c r="DS34" s="439"/>
      <c r="DT34" s="439"/>
      <c r="DU34" s="440"/>
      <c r="DW34" s="278"/>
      <c r="DX34" s="278"/>
      <c r="DY34" s="444" t="s">
        <v>589</v>
      </c>
      <c r="DZ34" s="444"/>
      <c r="EB34" s="278"/>
      <c r="EC34" s="278"/>
      <c r="ED34" s="444" t="s">
        <v>589</v>
      </c>
      <c r="EE34" s="444"/>
      <c r="EI34" t="s">
        <v>600</v>
      </c>
    </row>
    <row r="35" spans="1:157">
      <c r="A35" s="199"/>
      <c r="B35" s="199"/>
      <c r="C35" s="202" t="s">
        <v>464</v>
      </c>
      <c r="D35" s="202" t="s">
        <v>468</v>
      </c>
      <c r="E35" s="202" t="s">
        <v>465</v>
      </c>
      <c r="F35" s="202" t="s">
        <v>466</v>
      </c>
      <c r="G35" s="202" t="s">
        <v>559</v>
      </c>
      <c r="H35" s="202" t="s">
        <v>21</v>
      </c>
      <c r="K35" s="159"/>
      <c r="L35" s="159"/>
      <c r="M35" s="211" t="s">
        <v>473</v>
      </c>
      <c r="N35" s="160" t="s">
        <v>156</v>
      </c>
      <c r="O35" s="160" t="s">
        <v>476</v>
      </c>
      <c r="P35" s="160" t="s">
        <v>477</v>
      </c>
      <c r="Q35" s="160" t="s">
        <v>478</v>
      </c>
      <c r="R35" s="160" t="s">
        <v>479</v>
      </c>
      <c r="S35" s="160" t="s">
        <v>480</v>
      </c>
      <c r="T35" s="160" t="s">
        <v>481</v>
      </c>
      <c r="U35" s="160" t="s">
        <v>449</v>
      </c>
      <c r="V35" s="160" t="s">
        <v>157</v>
      </c>
      <c r="W35" s="160" t="s">
        <v>474</v>
      </c>
      <c r="X35" s="160" t="s">
        <v>475</v>
      </c>
      <c r="Y35" s="160" t="s">
        <v>46</v>
      </c>
      <c r="Z35" s="212" t="s">
        <v>11</v>
      </c>
      <c r="AA35" s="211" t="s">
        <v>473</v>
      </c>
      <c r="AB35" s="160" t="s">
        <v>156</v>
      </c>
      <c r="AC35" s="160" t="s">
        <v>476</v>
      </c>
      <c r="AD35" s="160" t="s">
        <v>477</v>
      </c>
      <c r="AE35" s="160" t="s">
        <v>478</v>
      </c>
      <c r="AF35" s="160" t="s">
        <v>479</v>
      </c>
      <c r="AG35" s="160" t="s">
        <v>480</v>
      </c>
      <c r="AH35" s="160" t="s">
        <v>481</v>
      </c>
      <c r="AI35" s="160" t="s">
        <v>449</v>
      </c>
      <c r="AJ35" s="160" t="s">
        <v>157</v>
      </c>
      <c r="AK35" s="160" t="s">
        <v>474</v>
      </c>
      <c r="AL35" s="160" t="s">
        <v>475</v>
      </c>
      <c r="AM35" s="160" t="s">
        <v>46</v>
      </c>
      <c r="AN35" s="212" t="s">
        <v>11</v>
      </c>
      <c r="AO35" s="211" t="s">
        <v>473</v>
      </c>
      <c r="AP35" s="160" t="s">
        <v>156</v>
      </c>
      <c r="AQ35" s="160" t="s">
        <v>476</v>
      </c>
      <c r="AR35" s="160" t="s">
        <v>477</v>
      </c>
      <c r="AS35" s="160" t="s">
        <v>478</v>
      </c>
      <c r="AT35" s="160" t="s">
        <v>479</v>
      </c>
      <c r="AU35" s="160" t="s">
        <v>480</v>
      </c>
      <c r="AV35" s="160" t="s">
        <v>481</v>
      </c>
      <c r="AW35" s="160" t="s">
        <v>449</v>
      </c>
      <c r="AX35" s="160" t="s">
        <v>157</v>
      </c>
      <c r="AY35" s="160" t="s">
        <v>474</v>
      </c>
      <c r="AZ35" s="160" t="s">
        <v>475</v>
      </c>
      <c r="BA35" s="160" t="s">
        <v>46</v>
      </c>
      <c r="BB35" s="212" t="s">
        <v>11</v>
      </c>
      <c r="BC35" s="211" t="s">
        <v>473</v>
      </c>
      <c r="BD35" s="160" t="s">
        <v>156</v>
      </c>
      <c r="BE35" s="160" t="s">
        <v>476</v>
      </c>
      <c r="BF35" s="160" t="s">
        <v>477</v>
      </c>
      <c r="BG35" s="160" t="s">
        <v>478</v>
      </c>
      <c r="BH35" s="160" t="s">
        <v>479</v>
      </c>
      <c r="BI35" s="160" t="s">
        <v>480</v>
      </c>
      <c r="BJ35" s="160" t="s">
        <v>481</v>
      </c>
      <c r="BK35" s="160" t="s">
        <v>449</v>
      </c>
      <c r="BL35" s="160" t="s">
        <v>157</v>
      </c>
      <c r="BM35" s="160" t="s">
        <v>474</v>
      </c>
      <c r="BN35" s="160" t="s">
        <v>475</v>
      </c>
      <c r="BO35" s="160" t="s">
        <v>46</v>
      </c>
      <c r="BP35" s="212" t="s">
        <v>11</v>
      </c>
      <c r="BQ35" s="211" t="s">
        <v>473</v>
      </c>
      <c r="BR35" s="160" t="s">
        <v>156</v>
      </c>
      <c r="BS35" s="160" t="s">
        <v>476</v>
      </c>
      <c r="BT35" s="160" t="s">
        <v>477</v>
      </c>
      <c r="BU35" s="160" t="s">
        <v>478</v>
      </c>
      <c r="BV35" s="160" t="s">
        <v>479</v>
      </c>
      <c r="BW35" s="160" t="s">
        <v>480</v>
      </c>
      <c r="BX35" s="160" t="s">
        <v>481</v>
      </c>
      <c r="BY35" s="160" t="s">
        <v>449</v>
      </c>
      <c r="BZ35" s="160" t="s">
        <v>157</v>
      </c>
      <c r="CA35" s="160" t="s">
        <v>474</v>
      </c>
      <c r="CB35" s="160" t="s">
        <v>475</v>
      </c>
      <c r="CC35" s="160" t="s">
        <v>46</v>
      </c>
      <c r="CD35" s="212" t="s">
        <v>11</v>
      </c>
      <c r="CE35" s="211" t="s">
        <v>473</v>
      </c>
      <c r="CF35" s="160" t="s">
        <v>156</v>
      </c>
      <c r="CG35" s="160" t="s">
        <v>476</v>
      </c>
      <c r="CH35" s="160" t="s">
        <v>477</v>
      </c>
      <c r="CI35" s="160" t="s">
        <v>478</v>
      </c>
      <c r="CJ35" s="160" t="s">
        <v>479</v>
      </c>
      <c r="CK35" s="160" t="s">
        <v>480</v>
      </c>
      <c r="CL35" s="160" t="s">
        <v>481</v>
      </c>
      <c r="CM35" s="160" t="s">
        <v>449</v>
      </c>
      <c r="CN35" s="160" t="s">
        <v>157</v>
      </c>
      <c r="CO35" s="160" t="s">
        <v>474</v>
      </c>
      <c r="CP35" s="160" t="s">
        <v>475</v>
      </c>
      <c r="CQ35" s="160" t="s">
        <v>46</v>
      </c>
      <c r="CR35" s="212" t="s">
        <v>11</v>
      </c>
      <c r="CV35" s="263"/>
      <c r="CW35" s="263"/>
      <c r="CX35" s="264" t="s">
        <v>156</v>
      </c>
      <c r="CY35" s="264" t="s">
        <v>479</v>
      </c>
      <c r="CZ35" s="264" t="s">
        <v>480</v>
      </c>
      <c r="DA35" s="264" t="s">
        <v>157</v>
      </c>
      <c r="DB35" s="264" t="s">
        <v>156</v>
      </c>
      <c r="DC35" s="264" t="s">
        <v>479</v>
      </c>
      <c r="DD35" s="264" t="s">
        <v>480</v>
      </c>
      <c r="DE35" s="264" t="s">
        <v>157</v>
      </c>
      <c r="DF35" s="264" t="s">
        <v>156</v>
      </c>
      <c r="DG35" s="264" t="s">
        <v>479</v>
      </c>
      <c r="DH35" s="264" t="s">
        <v>480</v>
      </c>
      <c r="DI35" s="264" t="s">
        <v>157</v>
      </c>
      <c r="DJ35" s="264" t="s">
        <v>156</v>
      </c>
      <c r="DK35" s="264" t="s">
        <v>479</v>
      </c>
      <c r="DL35" s="264" t="s">
        <v>480</v>
      </c>
      <c r="DM35" s="264" t="s">
        <v>157</v>
      </c>
      <c r="DN35" s="264" t="s">
        <v>156</v>
      </c>
      <c r="DO35" s="264" t="s">
        <v>479</v>
      </c>
      <c r="DP35" s="264" t="s">
        <v>480</v>
      </c>
      <c r="DQ35" s="264" t="s">
        <v>157</v>
      </c>
      <c r="DR35" s="264" t="s">
        <v>156</v>
      </c>
      <c r="DS35" s="264" t="s">
        <v>479</v>
      </c>
      <c r="DT35" s="264" t="s">
        <v>480</v>
      </c>
      <c r="DU35" s="264" t="s">
        <v>157</v>
      </c>
      <c r="DW35" s="278"/>
      <c r="DX35" s="278"/>
      <c r="DY35" s="280" t="s">
        <v>586</v>
      </c>
      <c r="DZ35" s="280" t="s">
        <v>259</v>
      </c>
      <c r="EB35" s="278"/>
      <c r="EC35" s="278"/>
      <c r="ED35" s="280" t="s">
        <v>586</v>
      </c>
      <c r="EE35" s="280" t="s">
        <v>259</v>
      </c>
      <c r="EL35" s="420" t="s">
        <v>565</v>
      </c>
      <c r="EM35" s="420" t="s">
        <v>566</v>
      </c>
      <c r="EN35" s="420" t="s">
        <v>567</v>
      </c>
      <c r="EO35" s="420" t="s">
        <v>563</v>
      </c>
      <c r="EP35" s="421" t="s">
        <v>598</v>
      </c>
      <c r="EQ35" s="421" t="s">
        <v>586</v>
      </c>
      <c r="ER35" s="421" t="s">
        <v>259</v>
      </c>
      <c r="ES35" s="424" t="s">
        <v>868</v>
      </c>
      <c r="EU35" s="306" t="s">
        <v>565</v>
      </c>
      <c r="EV35" s="306" t="s">
        <v>566</v>
      </c>
      <c r="EW35" s="306" t="s">
        <v>567</v>
      </c>
      <c r="EX35" s="306" t="s">
        <v>563</v>
      </c>
      <c r="EY35" s="307" t="s">
        <v>598</v>
      </c>
      <c r="EZ35" s="307" t="s">
        <v>586</v>
      </c>
      <c r="FA35" s="307" t="s">
        <v>259</v>
      </c>
    </row>
    <row r="36" spans="1:157" ht="37.5">
      <c r="A36" s="205" t="s">
        <v>701</v>
      </c>
      <c r="B36" s="205" t="s">
        <v>712</v>
      </c>
      <c r="C36" s="400">
        <f>$D8*KTDB_TripDistribution_2025!L$12 * (1+KTDB_발생량도착량_증가율!$C$8)</f>
        <v>48.807844106044577</v>
      </c>
      <c r="D36" s="400">
        <f>$D8*KTDB_TripDistribution_2025!M$12 * (1+KTDB_발생량도착량_증가율!$C$8)</f>
        <v>379.53630449497155</v>
      </c>
      <c r="E36" s="400">
        <f>$D8*KTDB_TripDistribution_2025!N$12 * (1+KTDB_발생량도착량_증가율!$C$8)</f>
        <v>16.823080711111356</v>
      </c>
      <c r="F36" s="400">
        <f>$D8*KTDB_TripDistribution_2025!O$12 * (1+KTDB_발생량도착량_증가율!$C$8)</f>
        <v>4.5621913792844519E-2</v>
      </c>
      <c r="G36" s="400">
        <f>$D8*KTDB_TripDistribution_2025!P$12 * (1+KTDB_발생량도착량_증가율!$C$8)</f>
        <v>0.12926208907972547</v>
      </c>
      <c r="H36" s="400">
        <f>$D8*KTDB_TripDistribution_2025!Q$12 * (1+KTDB_발생량도착량_증가율!$C$8)</f>
        <v>445.34211331500006</v>
      </c>
      <c r="J36" s="230">
        <f t="shared" ref="J36:J40" si="6">CR36</f>
        <v>445.34211331500001</v>
      </c>
      <c r="K36" s="206"/>
      <c r="L36" s="206" t="s">
        <v>711</v>
      </c>
      <c r="M36" s="206">
        <f>INDEX($A$35:$H$42,MATCH($L36,$B$35:$B$42,0),MATCH($M$34,$A$35:$H$35,0))*고양시_Modal_split!C$3 * 0.01</f>
        <v>0.1366619634969248</v>
      </c>
      <c r="N36" s="206">
        <f>INDEX($A$35:$H$42,MATCH($L36,$B$35:$B$42,0),MATCH($M$34,$A$35:$H$35,0))*고양시_Modal_split!D$3 * 0.01</f>
        <v>22.954329083072768</v>
      </c>
      <c r="O36" s="206">
        <f>INDEX($A$35:$H$42,MATCH($L36,$B$35:$B$42,0),MATCH($M$34,$A$35:$H$35,0))*고양시_Modal_split!E$3 * 0.01</f>
        <v>2.7771663296339364</v>
      </c>
      <c r="P36" s="206">
        <f>INDEX($A$35:$H$42,MATCH($L36,$B$35:$B$42,0),MATCH($M$34,$A$35:$H$35,0))*고양시_Modal_split!F$3 * 0.01</f>
        <v>4.475679304524288</v>
      </c>
      <c r="Q36" s="206">
        <f>INDEX($A$35:$H$42,MATCH($L36,$B$35:$B$42,0),MATCH($M$34,$A$35:$H$35,0))*고양시_Modal_split!G$3 * 0.01</f>
        <v>0.44903216577561006</v>
      </c>
      <c r="R36" s="206">
        <f>INDEX($A$35:$H$42,MATCH($L36,$B$35:$B$42,0),MATCH($M$34,$A$35:$H$35,0))*고양시_Modal_split!H$3 * 0.01</f>
        <v>4.8807844106044584E-3</v>
      </c>
      <c r="S36" s="206">
        <f>INDEX($A$35:$H$42,MATCH($L36,$B$35:$B$42,0),MATCH($M$34,$A$35:$H$35,0))*고양시_Modal_split!I$3 * 0.01</f>
        <v>1.3568580661480392</v>
      </c>
      <c r="T36" s="206">
        <f>INDEX($A$35:$H$42,MATCH($L36,$B$35:$B$42,0),MATCH($M$34,$A$35:$H$35,0))*고양시_Modal_split!J$3 * 0.01</f>
        <v>14.857107745879972</v>
      </c>
      <c r="U36" s="206">
        <f>INDEX($A$35:$H$42,MATCH($L36,$B$35:$B$42,0),MATCH($M$34,$A$35:$H$35,0))*고양시_Modal_split!K$3 * 0.01</f>
        <v>7.3211766159066868E-2</v>
      </c>
      <c r="V36" s="206">
        <f>INDEX($A$35:$H$42,MATCH($L36,$B$35:$B$42,0),MATCH($M$34,$A$35:$H$35,0))*고양시_Modal_split!L$3 * 0.01</f>
        <v>1.4739968920025461</v>
      </c>
      <c r="W36" s="206">
        <f>INDEX($A$35:$H$42,MATCH($L36,$B$35:$B$42,0),MATCH($M$34,$A$35:$H$35,0))*고양시_Modal_split!M$3 * 0.01</f>
        <v>0.11225804144390251</v>
      </c>
      <c r="X36" s="206">
        <f>INDEX($A$35:$H$42,MATCH($L36,$B$35:$B$42,0),MATCH($M$34,$A$35:$H$35,0))*고양시_Modal_split!N$3 * 0.01</f>
        <v>4.8807844106044586E-2</v>
      </c>
      <c r="Y36" s="206">
        <f>INDEX($A$35:$H$42,MATCH($L36,$B$35:$B$42,0),MATCH($M$34,$A$35:$H$35,0))*고양시_Modal_split!O$3 * 0.01</f>
        <v>8.7854119390880239E-2</v>
      </c>
      <c r="Z36" s="209">
        <f>INDEX($A$35:$H$42,MATCH($L36,$B$35:$B$42,0),MATCH($M$34,$A$35:$H$35,0))*고양시_Modal_split!P$3 * 0.01</f>
        <v>48.807844106044577</v>
      </c>
      <c r="AA36" s="206">
        <f>INDEX($A$35:$H$42,MATCH($L36,$B$35:$B$42,0),MATCH($AA$34,$A$35:$H$35,0))*고양시_Modal_split!C$3 * 0.01</f>
        <v>1.0627016525859201</v>
      </c>
      <c r="AB36" s="207">
        <f>INDEX($A$35:$H$42,MATCH($L36,$B$35:$B$42,0),MATCH($AA$34,$A$35:$H$35,0))*고양시_Modal_split!D$3 * 0.01</f>
        <v>178.49592400398512</v>
      </c>
      <c r="AC36" s="207">
        <f>INDEX($A$35:$H$42,MATCH($L36,$B$35:$B$42,0),MATCH($AA$34,$A$35:$H$35,0))*고양시_Modal_split!E$3 * 0.01</f>
        <v>21.595615725763878</v>
      </c>
      <c r="AD36" s="207">
        <f>INDEX($A$35:$H$42,MATCH($L36,$B$35:$B$42,0),MATCH($AA$34,$A$35:$H$35,0))*고양시_Modal_split!F$3 * 0.01</f>
        <v>34.80347912218889</v>
      </c>
      <c r="AE36" s="207">
        <f>INDEX($A$35:$H$42,MATCH($L36,$B$35:$B$42,0),MATCH($AA$34,$A$35:$H$35,0))*고양시_Modal_split!G$3 * 0.01</f>
        <v>3.4917340013537381</v>
      </c>
      <c r="AF36" s="207">
        <f>INDEX($A$35:$H$42,MATCH($L36,$B$35:$B$42,0),MATCH($AA$34,$A$35:$H$35,0))*고양시_Modal_split!H$3 * 0.01</f>
        <v>3.7953630449497157E-2</v>
      </c>
      <c r="AG36" s="207">
        <f>INDEX($A$35:$H$42,MATCH($L36,$B$35:$B$42,0),MATCH($AA$34,$A$35:$H$35,0))*고양시_Modal_split!I$3 * 0.01</f>
        <v>10.551109264960207</v>
      </c>
      <c r="AH36" s="207">
        <f>INDEX($A$35:$H$42,MATCH($L36,$B$35:$B$42,0),MATCH($AA$34,$A$35:$H$35,0))*고양시_Modal_split!J$3 * 0.01</f>
        <v>115.53085108826934</v>
      </c>
      <c r="AI36" s="207">
        <f>INDEX($A$35:$H$42,MATCH($L36,$B$35:$B$42,0),MATCH($AA$34,$A$35:$H$35,0))*고양시_Modal_split!K$3 * 0.01</f>
        <v>0.56930445674245733</v>
      </c>
      <c r="AJ36" s="207">
        <f>INDEX($A$35:$H$42,MATCH($L36,$B$35:$B$42,0),MATCH($AA$34,$A$35:$H$35,0))*고양시_Modal_split!L$3 * 0.01</f>
        <v>11.461996395748141</v>
      </c>
      <c r="AK36" s="207">
        <f>INDEX($A$35:$H$42,MATCH($L36,$B$35:$B$42,0),MATCH($AA$34,$A$35:$H$35,0))*고양시_Modal_split!M$3 * 0.01</f>
        <v>0.87293350033843453</v>
      </c>
      <c r="AL36" s="207">
        <f>INDEX($A$35:$H$42,MATCH($L36,$B$35:$B$42,0),MATCH($AA$34,$A$35:$H$35,0))*고양시_Modal_split!N$3 * 0.01</f>
        <v>0.37953630449497155</v>
      </c>
      <c r="AM36" s="207">
        <f>INDEX($A$35:$H$42,MATCH($L36,$B$35:$B$42,0),MATCH($AA$34,$A$35:$H$35,0))*고양시_Modal_split!O$3 * 0.01</f>
        <v>0.68316534809094875</v>
      </c>
      <c r="AN36" s="207">
        <f>INDEX($A$35:$H$42,MATCH($L36,$B$35:$B$42,0),MATCH($AA$34,$A$35:$H$35,0))*고양시_Modal_split!P$3 * 0.01</f>
        <v>379.53630449497155</v>
      </c>
      <c r="AO36" s="303">
        <f>INDEX($A$35:$H$42,MATCH($L36,$B$35:$B$42,0),MATCH($AO$34,$A$35:$H$35,0))*고양시_Modal_split!C$3 * 0.01</f>
        <v>4.7104625991111794E-2</v>
      </c>
      <c r="AP36" s="303">
        <f>INDEX($A$35:$H$42,MATCH($L36,$B$35:$B$42,0),MATCH($AO$34,$A$35:$H$35,0))*고양시_Modal_split!D$3 * 0.01</f>
        <v>7.9118948584356712</v>
      </c>
      <c r="AQ36" s="303">
        <f>INDEX($A$35:$H$42,MATCH($L36,$B$35:$B$42,0),MATCH($AO$34,$A$35:$H$35,0))*고양시_Modal_split!E$3 * 0.01</f>
        <v>0.95723329246223599</v>
      </c>
      <c r="AR36" s="303">
        <f>INDEX($A$35:$H$42,MATCH($L36,$B$35:$B$42,0),MATCH($AO$34,$A$35:$H$35,0))*고양시_Modal_split!F$3 * 0.01</f>
        <v>1.5426765012089112</v>
      </c>
      <c r="AS36" s="303">
        <f>INDEX($A$35:$H$42,MATCH($L36,$B$35:$B$42,0),MATCH($AO$34,$A$35:$H$35,0))*고양시_Modal_split!G$3 * 0.01</f>
        <v>0.15477234254222447</v>
      </c>
      <c r="AT36" s="303">
        <f>INDEX($A$35:$H$42,MATCH($L36,$B$35:$B$42,0),MATCH($AO$34,$A$35:$H$35,0))*고양시_Modal_split!H$3 * 0.01</f>
        <v>1.6823080711111358E-3</v>
      </c>
      <c r="AU36" s="303">
        <f>INDEX($A$35:$H$42,MATCH($L36,$B$35:$B$42,0),MATCH($AO$34,$A$35:$H$35,0))*고양시_Modal_split!I$3 * 0.01</f>
        <v>0.46768164376889565</v>
      </c>
      <c r="AV36" s="303">
        <f>INDEX($A$35:$H$42,MATCH($L36,$B$35:$B$42,0),MATCH($AO$34,$A$35:$H$35,0))*고양시_Modal_split!J$3 * 0.01</f>
        <v>5.1209457684622963</v>
      </c>
      <c r="AW36" s="303">
        <f>INDEX($A$35:$H$42,MATCH($L36,$B$35:$B$42,0),MATCH($AO$34,$A$35:$H$35,0))*고양시_Modal_split!K$3 * 0.01</f>
        <v>2.5234621066667035E-2</v>
      </c>
      <c r="AX36" s="303">
        <f>INDEX($A$35:$H$42,MATCH($L36,$B$35:$B$42,0),MATCH($AO$34,$A$35:$H$35,0))*고양시_Modal_split!L$3 * 0.01</f>
        <v>0.50805703747556297</v>
      </c>
      <c r="AY36" s="303">
        <f>INDEX($A$35:$H$42,MATCH($L36,$B$35:$B$42,0),MATCH($AO$34,$A$35:$H$35,0))*고양시_Modal_split!M$3 * 0.01</f>
        <v>3.8693085635556117E-2</v>
      </c>
      <c r="AZ36" s="303">
        <f>INDEX($A$35:$H$42,MATCH($L36,$B$35:$B$42,0),MATCH($AO$34,$A$35:$H$35,0))*고양시_Modal_split!N$3 * 0.01</f>
        <v>1.6823080711111355E-2</v>
      </c>
      <c r="BA36" s="207">
        <f>INDEX($A$35:$H$42,MATCH($L36,$B$35:$B$42,0),MATCH($AO$34,$A$35:$H$35,0))*고양시_Modal_split!O$3 * 0.01</f>
        <v>3.0281545280000439E-2</v>
      </c>
      <c r="BB36" s="207">
        <f>INDEX($A$35:$H$42,MATCH($L36,$B$35:$B$42,0),MATCH($AO$34,$A$35:$H$35,0))*고양시_Modal_split!P$3 * 0.01</f>
        <v>16.823080711111356</v>
      </c>
      <c r="BC36" s="207">
        <f>INDEX($A$35:$H$42,MATCH($L36,$B$35:$B$42,0),MATCH($BC$34,$A$35:$H$35,0))*고양시_Modal_split!C$3 * 0.01</f>
        <v>1.2774135861996465E-4</v>
      </c>
      <c r="BD36" s="207">
        <f>INDEX($A$35:$H$42,MATCH($L36,$B$35:$B$42,0),MATCH($BC$34,$A$35:$H$35,0))*고양시_Modal_split!D$3 * 0.01</f>
        <v>2.1455986056774776E-2</v>
      </c>
      <c r="BE36" s="207">
        <f>INDEX($A$35:$H$42,MATCH($L36,$B$35:$B$42,0),MATCH($BC$34,$A$35:$H$35,0))*고양시_Modal_split!E$3 * 0.01</f>
        <v>2.5958868948128527E-3</v>
      </c>
      <c r="BF36" s="207">
        <f>INDEX($A$35:$H$42,MATCH($L36,$B$35:$B$42,0),MATCH($BC$34,$A$35:$H$35,0))*고양시_Modal_split!F$3 * 0.01</f>
        <v>4.1835294948038429E-3</v>
      </c>
      <c r="BG36" s="207">
        <f>INDEX($A$35:$H$42,MATCH($L36,$B$35:$B$42,0),MATCH($BC$34,$A$35:$H$35,0))*고양시_Modal_split!G$3 * 0.01</f>
        <v>4.1972160689416954E-4</v>
      </c>
      <c r="BH36" s="207">
        <f>INDEX($A$35:$H$42,MATCH($L36,$B$35:$B$42,0),MATCH($BC$34,$A$35:$H$35,0))*고양시_Modal_split!H$3 * 0.01</f>
        <v>4.5621913792844518E-6</v>
      </c>
      <c r="BI36" s="207">
        <f>INDEX($A$35:$H$42,MATCH($L36,$B$35:$B$42,0),MATCH($BC$34,$A$35:$H$35,0))*고양시_Modal_split!I$3 * 0.01</f>
        <v>1.2682892034410775E-3</v>
      </c>
      <c r="BJ36" s="207">
        <f>INDEX($A$35:$H$42,MATCH($L36,$B$35:$B$42,0),MATCH($BC$34,$A$35:$H$35,0))*고양시_Modal_split!J$3 * 0.01</f>
        <v>1.3887310558541872E-2</v>
      </c>
      <c r="BK36" s="207">
        <f>INDEX($A$35:$H$42,MATCH($L36,$B$35:$B$42,0),MATCH($BC$34,$A$35:$H$35,0))*고양시_Modal_split!K$3 * 0.01</f>
        <v>6.8432870689266777E-5</v>
      </c>
      <c r="BL36" s="207">
        <f>INDEX($A$35:$H$42,MATCH($L36,$B$35:$B$42,0),MATCH($BC$34,$A$35:$H$35,0))*고양시_Modal_split!L$3 * 0.01</f>
        <v>1.3777817965439046E-3</v>
      </c>
      <c r="BM36" s="207">
        <f>INDEX($A$35:$H$42,MATCH($L36,$B$35:$B$42,0),MATCH($BC$34,$A$35:$H$35,0))*고양시_Modal_split!M$3 * 0.01</f>
        <v>1.0493040172354238E-4</v>
      </c>
      <c r="BN36" s="207">
        <f>INDEX($A$35:$H$42,MATCH($L36,$B$35:$B$42,0),MATCH($BC$34,$A$35:$H$35,0))*고양시_Modal_split!N$3 * 0.01</f>
        <v>4.5621913792844523E-5</v>
      </c>
      <c r="BO36" s="207">
        <f>INDEX($A$35:$H$42,MATCH($L36,$B$35:$B$42,0),MATCH($BC$34,$A$35:$H$35,0))*고양시_Modal_split!O$3 * 0.01</f>
        <v>8.211944482712013E-5</v>
      </c>
      <c r="BP36" s="207">
        <f>INDEX($A$35:$H$42,MATCH($L36,$B$35:$B$42,0),MATCH($BC$34,$A$35:$H$35,0))*고양시_Modal_split!P$3 * 0.01</f>
        <v>4.5621913792844519E-2</v>
      </c>
      <c r="BQ36" s="207">
        <f>INDEX($A$35:$H$42,MATCH($L36,$B$35:$B$42,0),MATCH($BQ$34,$A$35:$H$35,0))*고양시_Modal_split!C$3 * 0.01</f>
        <v>3.6193384942323134E-4</v>
      </c>
      <c r="BR36" s="207">
        <f>INDEX($A$35:$H$42,MATCH($L36,$B$35:$B$42,0),MATCH($BQ$34,$A$35:$H$35,0))*고양시_Modal_split!D$3 * 0.01</f>
        <v>6.0791960494194892E-2</v>
      </c>
      <c r="BS36" s="207">
        <f>INDEX($A$35:$H$42,MATCH($L36,$B$35:$B$42,0),MATCH($BQ$34,$A$35:$H$35,0))*고양시_Modal_split!E$3 * 0.01</f>
        <v>7.3550128686363792E-3</v>
      </c>
      <c r="BT36" s="207">
        <f>INDEX($A$35:$H$42,MATCH($L36,$B$35:$B$42,0),MATCH($BQ$34,$A$35:$H$35,0))*고양시_Modal_split!F$3 * 0.01</f>
        <v>1.1853333568610827E-2</v>
      </c>
      <c r="BU36" s="207">
        <f>INDEX($A$35:$H$42,MATCH($L36,$B$35:$B$42,0),MATCH($BQ$34,$A$35:$H$35,0))*고양시_Modal_split!G$3 * 0.01</f>
        <v>1.1892112195334742E-3</v>
      </c>
      <c r="BV36" s="207">
        <f>INDEX($A$35:$H$42,MATCH($L36,$B$35:$B$42,0),MATCH($BQ$34,$A$35:$H$35,0))*고양시_Modal_split!H$3 * 0.01</f>
        <v>1.2926208907972548E-5</v>
      </c>
      <c r="BW36" s="207">
        <f>INDEX($A$35:$H$42,MATCH($L36,$B$35:$B$42,0),MATCH($BQ$34,$A$35:$H$35,0))*고양시_Modal_split!I$3 * 0.01</f>
        <v>3.5934860764163679E-3</v>
      </c>
      <c r="BX36" s="207">
        <f>INDEX($A$35:$H$42,MATCH($L36,$B$35:$B$42,0),MATCH($BQ$34,$A$35:$H$35,0))*고양시_Modal_split!J$3 * 0.01</f>
        <v>3.9347379915868438E-2</v>
      </c>
      <c r="BY36" s="207">
        <f>INDEX($A$35:$H$42,MATCH($L36,$B$35:$B$42,0),MATCH($BQ$34,$A$35:$H$35,0))*고양시_Modal_split!K$3 * 0.01</f>
        <v>1.9389313361958818E-4</v>
      </c>
      <c r="BZ36" s="207">
        <f>INDEX($A$35:$H$42,MATCH($L36,$B$35:$B$42,0),MATCH($BQ$34,$A$35:$H$35,0))*고양시_Modal_split!L$3 * 0.01</f>
        <v>3.9037150902077097E-3</v>
      </c>
      <c r="CA36" s="207">
        <f>INDEX($A$35:$H$42,MATCH($L36,$B$35:$B$42,0),MATCH($BQ$34,$A$35:$H$35,0))*고양시_Modal_split!M$3 * 0.01</f>
        <v>2.9730280488336855E-4</v>
      </c>
      <c r="CB36" s="207">
        <f>INDEX($A$35:$H$42,MATCH($L36,$B$35:$B$42,0),MATCH($BQ$34,$A$35:$H$35,0))*고양시_Modal_split!N$3 * 0.01</f>
        <v>1.2926208907972547E-4</v>
      </c>
      <c r="CC36" s="207">
        <f>INDEX($A$35:$H$42,MATCH($L36,$B$35:$B$42,0),MATCH($BQ$34,$A$35:$H$35,0))*고양시_Modal_split!O$3 * 0.01</f>
        <v>2.3267176034350587E-4</v>
      </c>
      <c r="CD36" s="207">
        <f>INDEX($A$35:$H$42,MATCH($L36,$B$35:$B$42,0),MATCH($BQ$34,$A$35:$H$35,0))*고양시_Modal_split!P$3 * 0.01</f>
        <v>0.12926208907972547</v>
      </c>
      <c r="CE36" s="304">
        <f>M36+AA36+AO36+BC36+BQ36</f>
        <v>1.246957917282</v>
      </c>
      <c r="CF36" s="304">
        <f t="shared" ref="CF36:CR42" si="7">N36+AB36+AP36+BD36+BR36</f>
        <v>209.4443958920445</v>
      </c>
      <c r="CG36" s="304">
        <f t="shared" si="7"/>
        <v>25.339966247623497</v>
      </c>
      <c r="CH36" s="304">
        <f t="shared" si="7"/>
        <v>40.837871790985503</v>
      </c>
      <c r="CI36" s="304">
        <f t="shared" si="7"/>
        <v>4.0971474424980006</v>
      </c>
      <c r="CJ36" s="304">
        <f t="shared" si="7"/>
        <v>4.4534211331500012E-2</v>
      </c>
      <c r="CK36" s="304">
        <f t="shared" si="7"/>
        <v>12.380510750156999</v>
      </c>
      <c r="CL36" s="304">
        <f t="shared" si="7"/>
        <v>135.56213929308603</v>
      </c>
      <c r="CM36" s="304">
        <f t="shared" si="7"/>
        <v>0.66801316997250015</v>
      </c>
      <c r="CN36" s="304">
        <f t="shared" si="7"/>
        <v>13.449331822113002</v>
      </c>
      <c r="CO36" s="304">
        <f t="shared" si="7"/>
        <v>1.0242868606245001</v>
      </c>
      <c r="CP36" s="304">
        <f t="shared" si="7"/>
        <v>0.44534211331500007</v>
      </c>
      <c r="CQ36" s="304">
        <f t="shared" si="7"/>
        <v>0.80161580396700016</v>
      </c>
      <c r="CR36" s="304">
        <f t="shared" si="7"/>
        <v>445.34211331500001</v>
      </c>
      <c r="CS36" s="305">
        <f>H36-CR36</f>
        <v>0</v>
      </c>
      <c r="CV36" s="265"/>
      <c r="CW36" s="265" t="s">
        <v>711</v>
      </c>
      <c r="CX36" s="267">
        <f>INDEX($M$34:$Z$42,MATCH($CW36,$L$34:$L$42,0),MATCH(CX$35,$M$35:$Z$35,0))/INDEX(고양시_재차인원!$D$4:$H$35,MATCH("고양시",고양시_재차인원!$B$4:$B$35,0),MATCH($CX$34,고양시_재차인원!$D$4:$H$4,0))</f>
        <v>20.494936681314968</v>
      </c>
      <c r="CY36" s="267">
        <f>INDEX($M$34:$Z$42,MATCH($CW36,$L$34:$L$42,0),MATCH(CY$35,$M$35:$Z$35,0))/INDEX(고양시_재차인원!$K$4:$O$20,MATCH("경기도",고양시_재차인원!$K$4:$K$20,0),MATCH(CY$35,고양시_재차인원!$K$4:$O$4,0))</f>
        <v>1.6953054569657724E-4</v>
      </c>
      <c r="CZ36" s="267">
        <f>INDEX($M$34:$Z$42,MATCH($CW36,$L$34:$L$42,0),MATCH(CZ$35,$M$35:$Z$35,0))/INDEX(고양시_재차인원!$K$4:$O$20,MATCH("경기도",고양시_재차인원!$K$4:$K$20,0),MATCH(CZ$35,고양시_재차인원!$K$4:$O$4,0))</f>
        <v>4.7129491703648461E-2</v>
      </c>
      <c r="DA36" s="267">
        <f>INDEX($M$34:$Z$42,MATCH($CW36,$L$34:$L$42,0),MATCH(DA$35,$M$35:$Z$35,0))/INDEX(고양시_재차인원!$D$4:$H$35,MATCH("고양시",고양시_재차인원!$B$4:$B$35,0),MATCH($CX$34,고양시_재차인원!$D$4:$H$4,0))</f>
        <v>1.3160686535737018</v>
      </c>
      <c r="DB36" s="267">
        <f>INDEX($AA$34:$AN$42,MATCH($CW36,$L$34:$L$42,0),MATCH(DB$35,$AA$35:$AN$35,0))/INDEX(고양시_재차인원!$D$4:$H$35,MATCH("고양시",고양시_재차인원!$B$4:$B$35,0),MATCH($DB$34,고양시_재차인원!$D$4:$H$4,0))</f>
        <v>126.59285390353556</v>
      </c>
      <c r="DC36" s="267">
        <f>INDEX($AA$34:$AN$42,MATCH($CW36,$L$34:$L$42,0),MATCH(DC$35,$AA$35:$AN$35,0))/INDEX(고양시_재차인원!$K$4:$O$20,MATCH("경기도",고양시_재차인원!$K$4:$K$20,0),MATCH(DC$35,고양시_재차인원!$K$4:$O$4,0))</f>
        <v>1.3182921309307801E-3</v>
      </c>
      <c r="DD36" s="267">
        <f>INDEX($AA$34:$AN$42,MATCH($CW36,$L$34:$L$42,0),MATCH(DD$35,$AA$35:$AN$35,0))/INDEX(고양시_재차인원!$K$4:$O$20,MATCH("경기도",고양시_재차인원!$K$4:$K$20,0),MATCH(DD$35,고양시_재차인원!$K$4:$O$4,0))</f>
        <v>0.36648521239875675</v>
      </c>
      <c r="DE36" s="267">
        <f>INDEX($AA$34:$AN$42,MATCH($CW36,$L$34:$L$42,0),MATCH(DE$35,$AA$35:$AN$35,0))/INDEX(고양시_재차인원!$D$4:$H$35,MATCH("고양시",고양시_재차인원!$B$4:$B$35,0),MATCH($DB$34,고양시_재차인원!$D$4:$H$4,0))</f>
        <v>8.1290754579774056</v>
      </c>
      <c r="DF36" s="267">
        <f>INDEX($AO$34:$BB$42,MATCH($CW36,$L$34:$L$42,0),MATCH(DF$35,$AO$35:$BB$35,0))/INDEX(고양시_재차인원!$D$4:$H$35,MATCH("고양시",고양시_재차인원!$B$4:$B$35,0),MATCH($DF$34,고양시_재차인원!$D$4:$H$4,0))</f>
        <v>6.0860729680274392</v>
      </c>
      <c r="DG36" s="267">
        <f>INDEX($AO$34:$BB$42,MATCH($CW36,$L$34:$L$42,0),MATCH(DG$35,$AO$35:$BB$35,0))/INDEX(고양시_재차인원!$K$4:$O$20,MATCH("경기도",고양시_재차인원!$K$4:$K$20,0),MATCH(DG$35,고양시_재차인원!$K$4:$O$4,0))</f>
        <v>5.8433764192814722E-5</v>
      </c>
      <c r="DH36" s="267">
        <f>INDEX($AO$34:$BB$42,MATCH($CW36,$L$34:$L$42,0),MATCH(DH$35,$AO$35:$BB$35,0))/INDEX(고양시_재차인원!$K$4:$O$20,MATCH("경기도",고양시_재차인원!$K$4:$K$20,0),MATCH(DH$35,고양시_재차인원!$K$4:$O$4,0))</f>
        <v>1.6244586445602491E-2</v>
      </c>
      <c r="DI36" s="267">
        <f>INDEX($AO$34:$BB$42,MATCH($CW36,$L$34:$L$42,0),MATCH(DI$35,$AO$35:$BB$35,0))/INDEX(고양시_재차인원!$D$4:$H$35,MATCH("고양시",고양시_재차인원!$B$4:$B$35,0),MATCH($DF$34,고양시_재차인원!$D$4:$H$4,0))</f>
        <v>0.39081310575043304</v>
      </c>
      <c r="DJ36" s="267">
        <f>INDEX($BC$34:$BP$42,MATCH($CW36,$L$34:$L$42,0),MATCH(DJ$35,$BC$35:$BP$35,0))/INDEX(고양시_재차인원!$D$4:$H$35,MATCH("고양시",고양시_재차인원!$B$4:$B$35,0),MATCH($DJ$34,고양시_재차인원!$D$4:$H$4,0))</f>
        <v>1.5776460335863805E-2</v>
      </c>
      <c r="DK36" s="267">
        <f>INDEX($BC$34:$BP$42,MATCH($CW36,$L$34:$L$42,0),MATCH(DK$35,$BC$35:$BP$35,0))/INDEX(고양시_재차인원!$K$4:$O$20,MATCH("경기도",고양시_재차인원!$K$4:$K$20,0),MATCH(DK$35,고양시_재차인원!$K$4:$O$4,0))</f>
        <v>1.5846444526865064E-7</v>
      </c>
      <c r="DL36" s="267">
        <f>INDEX($BC$34:$BP$42,MATCH($CW36,$L$34:$L$42,0),MATCH(DL$35,$BC$35:$BP$35,0))/INDEX(고양시_재차인원!$K$4:$O$20,MATCH("경기도",고양시_재차인원!$K$4:$K$20,0),MATCH(DL$35,고양시_재차인원!$K$4:$O$4,0))</f>
        <v>4.4053115784684872E-5</v>
      </c>
      <c r="DM36" s="267">
        <f>INDEX($BC$34:$BP$42,MATCH($CW36,$L$34:$L$42,0),MATCH(DM$35,$BC$35:$BP$35,0))/INDEX(고양시_재차인원!$D$4:$H$35,MATCH("고양시",고양시_재차인원!$B$4:$B$35,0),MATCH($DJ$34,고양시_재차인원!$D$4:$H$4,0))</f>
        <v>1.0130748503999298E-3</v>
      </c>
      <c r="DN36" s="267">
        <f>INDEX($BQ$34:$CD$42,MATCH($CW36,$L$34:$L$42,0),MATCH(DN$35,$BQ$35:$CD$35,0))/INDEX(고양시_재차인원!$D$4:$H$35,MATCH("고양시",고양시_재차인원!$B$4:$B$35,0),MATCH($DN$34,고양시_재차인원!$D$4:$H$4,0))</f>
        <v>4.8247587693805473E-2</v>
      </c>
      <c r="DO36" s="267">
        <f>INDEX($BQ$34:$CD$42,MATCH($CW36,$L$34:$L$42,0),MATCH(DO$35,$BQ$35:$CD$35,0))/INDEX(고양시_재차인원!$K$4:$O$20,MATCH("경기도",고양시_재차인원!$K$4:$K$20,0),MATCH(DO$35,고양시_재차인원!$K$4:$O$4,0))</f>
        <v>4.4898259492784124E-7</v>
      </c>
      <c r="DP36" s="267">
        <f>INDEX($BQ$34:$CD$42,MATCH($CW36,$L$34:$L$42,0),MATCH(DP$35,$BQ$35:$CD$35,0))/INDEX(고양시_재차인원!$K$4:$O$20,MATCH("경기도",고양시_재차인원!$K$4:$K$20,0),MATCH(DP$35,고양시_재차인원!$K$4:$O$4,0))</f>
        <v>1.2481716138993985E-4</v>
      </c>
      <c r="DQ36" s="267">
        <f>INDEX($BQ$34:$CD$42,MATCH($CW36,$L$34:$L$42,0),MATCH(DQ$35,$BQ$35:$CD$35,0))/INDEX(고양시_재차인원!$D$4:$H$35,MATCH("고양시",고양시_재차인원!$B$4:$B$35,0),MATCH($DN$34,고양시_재차인원!$D$4:$H$4,0))</f>
        <v>3.0981865795299281E-3</v>
      </c>
      <c r="DR36" s="270">
        <f>CX36+DB36+DF36+DJ36+DN36</f>
        <v>153.23788760090764</v>
      </c>
      <c r="DS36" s="270">
        <f t="shared" ref="DS36:DU42" si="8">CY36+DC36+DG36+DK36+DO36</f>
        <v>1.5468638878603687E-3</v>
      </c>
      <c r="DT36" s="270">
        <f t="shared" si="8"/>
        <v>0.43002816082518236</v>
      </c>
      <c r="DU36" s="270">
        <f t="shared" si="8"/>
        <v>9.8400684787314709</v>
      </c>
      <c r="DW36" s="278"/>
      <c r="DX36" s="278" t="s">
        <v>711</v>
      </c>
      <c r="DY36" s="281">
        <f>DR36+DU36</f>
        <v>163.07795607963911</v>
      </c>
      <c r="DZ36" s="281">
        <f>DS36+DT36</f>
        <v>0.43157502471304271</v>
      </c>
      <c r="EB36" s="278"/>
      <c r="EC36" s="278" t="s">
        <v>12</v>
      </c>
      <c r="ED36" s="281">
        <f>DY36</f>
        <v>163.07795607963911</v>
      </c>
      <c r="EE36" s="281">
        <f t="shared" ref="EE36:EE42" si="9">DZ36</f>
        <v>0.43157502471304271</v>
      </c>
      <c r="EL36" s="420" t="s">
        <v>729</v>
      </c>
      <c r="EM36" s="420"/>
      <c r="EN36" s="420"/>
      <c r="EO36" s="420"/>
      <c r="EP36" s="421">
        <v>849201</v>
      </c>
      <c r="EQ36" s="422">
        <f>ED43</f>
        <v>827.87602761543008</v>
      </c>
      <c r="ER36" s="422">
        <f t="shared" ref="ER36" si="10">EE43</f>
        <v>2.1909191509794379</v>
      </c>
      <c r="ES36">
        <v>0</v>
      </c>
      <c r="EU36" s="306" t="s">
        <v>729</v>
      </c>
      <c r="EV36" s="306"/>
      <c r="EW36" s="306"/>
      <c r="EX36" s="306"/>
      <c r="EY36" s="307">
        <v>849201</v>
      </c>
      <c r="EZ36" s="308">
        <f>EQ36*$EI$29</f>
        <v>827.87602761543008</v>
      </c>
      <c r="FA36" s="308">
        <f t="shared" ref="FA36" si="11">ER36*$EI$29</f>
        <v>2.1909191509794379</v>
      </c>
    </row>
    <row r="37" spans="1:157" ht="25">
      <c r="A37" s="205" t="s">
        <v>701</v>
      </c>
      <c r="B37" s="205" t="s">
        <v>714</v>
      </c>
      <c r="C37" s="400">
        <f>$D9*KTDB_TripDistribution_2025!L$12 * (1+KTDB_발생량도착량_증가율!$C$8)</f>
        <v>92.746228127263365</v>
      </c>
      <c r="D37" s="400">
        <f>$D9*KTDB_TripDistribution_2025!M$12 * (1+KTDB_발생량도착량_증가율!$C$8)</f>
        <v>721.20703800784611</v>
      </c>
      <c r="E37" s="400">
        <f>$D9*KTDB_TripDistribution_2025!N$12 * (1+KTDB_발생량도착량_증가율!$C$8)</f>
        <v>31.967756618097908</v>
      </c>
      <c r="F37" s="400">
        <f>$D9*KTDB_TripDistribution_2025!O$12 * (1+KTDB_발생량도착량_증가율!$C$8)</f>
        <v>8.6692221337214992E-2</v>
      </c>
      <c r="G37" s="400">
        <f>$D9*KTDB_TripDistribution_2025!P$12 * (1+KTDB_발생량도착량_증가율!$C$8)</f>
        <v>0.24562796045544125</v>
      </c>
      <c r="H37" s="400">
        <f>$D9*KTDB_TripDistribution_2025!Q$12 * (1+KTDB_발생량도착량_증가율!$C$8)</f>
        <v>846.25334293500009</v>
      </c>
      <c r="J37" s="230">
        <f t="shared" si="6"/>
        <v>846.25334293500009</v>
      </c>
      <c r="K37" s="206"/>
      <c r="L37" s="206" t="s">
        <v>713</v>
      </c>
      <c r="M37" s="206">
        <f>INDEX($A$35:$H$42,MATCH($L37,$B$35:$B$42,0),MATCH($M$34,$A$35:$H$35,0))*고양시_Modal_split!C$3 * 0.01</f>
        <v>0.25968943875633743</v>
      </c>
      <c r="N37" s="206">
        <f>INDEX($A$35:$H$42,MATCH($L37,$B$35:$B$42,0),MATCH($M$34,$A$35:$H$35,0))*고양시_Modal_split!D$3 * 0.01</f>
        <v>43.618551088251962</v>
      </c>
      <c r="O37" s="206">
        <f>INDEX($A$35:$H$42,MATCH($L37,$B$35:$B$42,0),MATCH($M$34,$A$35:$H$35,0))*고양시_Modal_split!E$3 * 0.01</f>
        <v>5.2772603804412848</v>
      </c>
      <c r="P37" s="206">
        <f>INDEX($A$35:$H$42,MATCH($L37,$B$35:$B$42,0),MATCH($M$34,$A$35:$H$35,0))*고양시_Modal_split!F$3 * 0.01</f>
        <v>8.5048291192700507</v>
      </c>
      <c r="Q37" s="206">
        <f>INDEX($A$35:$H$42,MATCH($L37,$B$35:$B$42,0),MATCH($M$34,$A$35:$H$35,0))*고양시_Modal_split!G$3 * 0.01</f>
        <v>0.85326529877082291</v>
      </c>
      <c r="R37" s="206">
        <f>INDEX($A$35:$H$42,MATCH($L37,$B$35:$B$42,0),MATCH($M$34,$A$35:$H$35,0))*고양시_Modal_split!H$3 * 0.01</f>
        <v>9.2746228127263373E-3</v>
      </c>
      <c r="S37" s="206">
        <f>INDEX($A$35:$H$42,MATCH($L37,$B$35:$B$42,0),MATCH($M$34,$A$35:$H$35,0))*고양시_Modal_split!I$3 * 0.01</f>
        <v>2.5783451419379215</v>
      </c>
      <c r="T37" s="206">
        <f>INDEX($A$35:$H$42,MATCH($L37,$B$35:$B$42,0),MATCH($M$34,$A$35:$H$35,0))*고양시_Modal_split!J$3 * 0.01</f>
        <v>28.231951841938972</v>
      </c>
      <c r="U37" s="206">
        <f>INDEX($A$35:$H$42,MATCH($L37,$B$35:$B$42,0),MATCH($M$34,$A$35:$H$35,0))*고양시_Modal_split!K$3 * 0.01</f>
        <v>0.13911934219089506</v>
      </c>
      <c r="V37" s="206">
        <f>INDEX($A$35:$H$42,MATCH($L37,$B$35:$B$42,0),MATCH($M$34,$A$35:$H$35,0))*고양시_Modal_split!L$3 * 0.01</f>
        <v>2.8009360894433537</v>
      </c>
      <c r="W37" s="206">
        <f>INDEX($A$35:$H$42,MATCH($L37,$B$35:$B$42,0),MATCH($M$34,$A$35:$H$35,0))*고양시_Modal_split!M$3 * 0.01</f>
        <v>0.21331632469270573</v>
      </c>
      <c r="X37" s="206">
        <f>INDEX($A$35:$H$42,MATCH($L37,$B$35:$B$42,0),MATCH($M$34,$A$35:$H$35,0))*고양시_Modal_split!N$3 * 0.01</f>
        <v>9.2746228127263367E-2</v>
      </c>
      <c r="Y37" s="206">
        <f>INDEX($A$35:$H$42,MATCH($L37,$B$35:$B$42,0),MATCH($M$34,$A$35:$H$35,0))*고양시_Modal_split!O$3 * 0.01</f>
        <v>0.16694321062907405</v>
      </c>
      <c r="Z37" s="209">
        <f>INDEX($A$35:$H$42,MATCH($L37,$B$35:$B$42,0),MATCH($M$34,$A$35:$H$35,0))*고양시_Modal_split!P$3 * 0.01</f>
        <v>92.746228127263365</v>
      </c>
      <c r="AA37" s="207">
        <f>INDEX($A$35:$H$42,MATCH($L37,$B$35:$B$42,0),MATCH($AA$34,$A$35:$H$35,0))*고양시_Modal_split!C$3 * 0.01</f>
        <v>2.0193797064219687</v>
      </c>
      <c r="AB37" s="207">
        <f>INDEX($A$35:$H$42,MATCH($L37,$B$35:$B$42,0),MATCH($AA$34,$A$35:$H$35,0))*고양시_Modal_split!D$3 * 0.01</f>
        <v>339.18366997509003</v>
      </c>
      <c r="AC37" s="207">
        <f>INDEX($A$35:$H$42,MATCH($L37,$B$35:$B$42,0),MATCH($AA$34,$A$35:$H$35,0))*고양시_Modal_split!E$3 * 0.01</f>
        <v>41.036680462646437</v>
      </c>
      <c r="AD37" s="207">
        <f>INDEX($A$35:$H$42,MATCH($L37,$B$35:$B$42,0),MATCH($AA$34,$A$35:$H$35,0))*고양시_Modal_split!F$3 * 0.01</f>
        <v>66.134685385319486</v>
      </c>
      <c r="AE37" s="207">
        <f>INDEX($A$35:$H$42,MATCH($L37,$B$35:$B$42,0),MATCH($AA$34,$A$35:$H$35,0))*고양시_Modal_split!G$3 * 0.01</f>
        <v>6.6351047496721831</v>
      </c>
      <c r="AF37" s="207">
        <f>INDEX($A$35:$H$42,MATCH($L37,$B$35:$B$42,0),MATCH($AA$34,$A$35:$H$35,0))*고양시_Modal_split!H$3 * 0.01</f>
        <v>7.2120703800784614E-2</v>
      </c>
      <c r="AG37" s="207">
        <f>INDEX($A$35:$H$42,MATCH($L37,$B$35:$B$42,0),MATCH($AA$34,$A$35:$H$35,0))*고양시_Modal_split!I$3 * 0.01</f>
        <v>20.049555656618121</v>
      </c>
      <c r="AH37" s="207">
        <f>INDEX($A$35:$H$42,MATCH($L37,$B$35:$B$42,0),MATCH($AA$34,$A$35:$H$35,0))*고양시_Modal_split!J$3 * 0.01</f>
        <v>219.53542236958839</v>
      </c>
      <c r="AI37" s="207">
        <f>INDEX($A$35:$H$42,MATCH($L37,$B$35:$B$42,0),MATCH($AA$34,$A$35:$H$35,0))*고양시_Modal_split!K$3 * 0.01</f>
        <v>1.0818105570117691</v>
      </c>
      <c r="AJ37" s="207">
        <f>INDEX($A$35:$H$42,MATCH($L37,$B$35:$B$42,0),MATCH($AA$34,$A$35:$H$35,0))*고양시_Modal_split!L$3 * 0.01</f>
        <v>21.780452547836955</v>
      </c>
      <c r="AK37" s="207">
        <f>INDEX($A$35:$H$42,MATCH($L37,$B$35:$B$42,0),MATCH($AA$34,$A$35:$H$35,0))*고양시_Modal_split!M$3 * 0.01</f>
        <v>1.6587761874180458</v>
      </c>
      <c r="AL37" s="207">
        <f>INDEX($A$35:$H$42,MATCH($L37,$B$35:$B$42,0),MATCH($AA$34,$A$35:$H$35,0))*고양시_Modal_split!N$3 * 0.01</f>
        <v>0.72120703800784614</v>
      </c>
      <c r="AM37" s="207">
        <f>INDEX($A$35:$H$42,MATCH($L37,$B$35:$B$42,0),MATCH($AA$34,$A$35:$H$35,0))*고양시_Modal_split!O$3 * 0.01</f>
        <v>1.298172668414123</v>
      </c>
      <c r="AN37" s="207">
        <f>INDEX($A$35:$H$42,MATCH($L37,$B$35:$B$42,0),MATCH($AA$34,$A$35:$H$35,0))*고양시_Modal_split!P$3 * 0.01</f>
        <v>721.20703800784611</v>
      </c>
      <c r="AO37" s="303">
        <f>INDEX($A$35:$H$42,MATCH($L37,$B$35:$B$42,0),MATCH($AO$34,$A$35:$H$35,0))*고양시_Modal_split!C$3 * 0.01</f>
        <v>8.9509718530674132E-2</v>
      </c>
      <c r="AP37" s="303">
        <f>INDEX($A$35:$H$42,MATCH($L37,$B$35:$B$42,0),MATCH($AO$34,$A$35:$H$35,0))*고양시_Modal_split!D$3 * 0.01</f>
        <v>15.034435937491446</v>
      </c>
      <c r="AQ37" s="303">
        <f>INDEX($A$35:$H$42,MATCH($L37,$B$35:$B$42,0),MATCH($AO$34,$A$35:$H$35,0))*고양시_Modal_split!E$3 * 0.01</f>
        <v>1.8189653515697708</v>
      </c>
      <c r="AR37" s="303">
        <f>INDEX($A$35:$H$42,MATCH($L37,$B$35:$B$42,0),MATCH($AO$34,$A$35:$H$35,0))*고양시_Modal_split!F$3 * 0.01</f>
        <v>2.9314432818795781</v>
      </c>
      <c r="AS37" s="303">
        <f>INDEX($A$35:$H$42,MATCH($L37,$B$35:$B$42,0),MATCH($AO$34,$A$35:$H$35,0))*고양시_Modal_split!G$3 * 0.01</f>
        <v>0.29410336088650074</v>
      </c>
      <c r="AT37" s="303">
        <f>INDEX($A$35:$H$42,MATCH($L37,$B$35:$B$42,0),MATCH($AO$34,$A$35:$H$35,0))*고양시_Modal_split!H$3 * 0.01</f>
        <v>3.1967756618097908E-3</v>
      </c>
      <c r="AU37" s="303">
        <f>INDEX($A$35:$H$42,MATCH($L37,$B$35:$B$42,0),MATCH($AO$34,$A$35:$H$35,0))*고양시_Modal_split!I$3 * 0.01</f>
        <v>0.8887036339831218</v>
      </c>
      <c r="AV37" s="303">
        <f>INDEX($A$35:$H$42,MATCH($L37,$B$35:$B$42,0),MATCH($AO$34,$A$35:$H$35,0))*고양시_Modal_split!J$3 * 0.01</f>
        <v>9.7309851145490036</v>
      </c>
      <c r="AW37" s="303">
        <f>INDEX($A$35:$H$42,MATCH($L37,$B$35:$B$42,0),MATCH($AO$34,$A$35:$H$35,0))*고양시_Modal_split!K$3 * 0.01</f>
        <v>4.7951634927146866E-2</v>
      </c>
      <c r="AX37" s="303">
        <f>INDEX($A$35:$H$42,MATCH($L37,$B$35:$B$42,0),MATCH($AO$34,$A$35:$H$35,0))*고양시_Modal_split!L$3 * 0.01</f>
        <v>0.96542624986655678</v>
      </c>
      <c r="AY37" s="303">
        <f>INDEX($A$35:$H$42,MATCH($L37,$B$35:$B$42,0),MATCH($AO$34,$A$35:$H$35,0))*고양시_Modal_split!M$3 * 0.01</f>
        <v>7.3525840221625186E-2</v>
      </c>
      <c r="AZ37" s="303">
        <f>INDEX($A$35:$H$42,MATCH($L37,$B$35:$B$42,0),MATCH($AO$34,$A$35:$H$35,0))*고양시_Modal_split!N$3 * 0.01</f>
        <v>3.1967756618097913E-2</v>
      </c>
      <c r="BA37" s="207">
        <f>INDEX($A$35:$H$42,MATCH($L37,$B$35:$B$42,0),MATCH($AO$34,$A$35:$H$35,0))*고양시_Modal_split!O$3 * 0.01</f>
        <v>5.7541961912576232E-2</v>
      </c>
      <c r="BB37" s="207">
        <f>INDEX($A$35:$H$42,MATCH($L37,$B$35:$B$42,0),MATCH($AO$34,$A$35:$H$35,0))*고양시_Modal_split!P$3 * 0.01</f>
        <v>31.967756618097912</v>
      </c>
      <c r="BC37" s="207">
        <f>INDEX($A$35:$H$42,MATCH($L37,$B$35:$B$42,0),MATCH($BC$34,$A$35:$H$35,0))*고양시_Modal_split!C$3 * 0.01</f>
        <v>2.4273821974420197E-4</v>
      </c>
      <c r="BD37" s="207">
        <f>INDEX($A$35:$H$42,MATCH($L37,$B$35:$B$42,0),MATCH($BC$34,$A$35:$H$35,0))*고양시_Modal_split!D$3 * 0.01</f>
        <v>4.0771351694892211E-2</v>
      </c>
      <c r="BE37" s="207">
        <f>INDEX($A$35:$H$42,MATCH($L37,$B$35:$B$42,0),MATCH($BC$34,$A$35:$H$35,0))*고양시_Modal_split!E$3 * 0.01</f>
        <v>4.9327873940875327E-3</v>
      </c>
      <c r="BF37" s="207">
        <f>INDEX($A$35:$H$42,MATCH($L37,$B$35:$B$42,0),MATCH($BC$34,$A$35:$H$35,0))*고양시_Modal_split!F$3 * 0.01</f>
        <v>7.9496766966226148E-3</v>
      </c>
      <c r="BG37" s="207">
        <f>INDEX($A$35:$H$42,MATCH($L37,$B$35:$B$42,0),MATCH($BC$34,$A$35:$H$35,0))*고양시_Modal_split!G$3 * 0.01</f>
        <v>7.9756843630237793E-4</v>
      </c>
      <c r="BH37" s="207">
        <f>INDEX($A$35:$H$42,MATCH($L37,$B$35:$B$42,0),MATCH($BC$34,$A$35:$H$35,0))*고양시_Modal_split!H$3 * 0.01</f>
        <v>8.6692221337214998E-6</v>
      </c>
      <c r="BI37" s="207">
        <f>INDEX($A$35:$H$42,MATCH($L37,$B$35:$B$42,0),MATCH($BC$34,$A$35:$H$35,0))*고양시_Modal_split!I$3 * 0.01</f>
        <v>2.4100437531745767E-3</v>
      </c>
      <c r="BJ37" s="207">
        <f>INDEX($A$35:$H$42,MATCH($L37,$B$35:$B$42,0),MATCH($BC$34,$A$35:$H$35,0))*고양시_Modal_split!J$3 * 0.01</f>
        <v>2.6389112175048246E-2</v>
      </c>
      <c r="BK37" s="207">
        <f>INDEX($A$35:$H$42,MATCH($L37,$B$35:$B$42,0),MATCH($BC$34,$A$35:$H$35,0))*고양시_Modal_split!K$3 * 0.01</f>
        <v>1.3003833200582248E-4</v>
      </c>
      <c r="BL37" s="207">
        <f>INDEX($A$35:$H$42,MATCH($L37,$B$35:$B$42,0),MATCH($BC$34,$A$35:$H$35,0))*고양시_Modal_split!L$3 * 0.01</f>
        <v>2.6181050843838926E-3</v>
      </c>
      <c r="BM37" s="207">
        <f>INDEX($A$35:$H$42,MATCH($L37,$B$35:$B$42,0),MATCH($BC$34,$A$35:$H$35,0))*고양시_Modal_split!M$3 * 0.01</f>
        <v>1.9939210907559448E-4</v>
      </c>
      <c r="BN37" s="207">
        <f>INDEX($A$35:$H$42,MATCH($L37,$B$35:$B$42,0),MATCH($BC$34,$A$35:$H$35,0))*고양시_Modal_split!N$3 * 0.01</f>
        <v>8.6692221337214998E-5</v>
      </c>
      <c r="BO37" s="207">
        <f>INDEX($A$35:$H$42,MATCH($L37,$B$35:$B$42,0),MATCH($BC$34,$A$35:$H$35,0))*고양시_Modal_split!O$3 * 0.01</f>
        <v>1.56045998406987E-4</v>
      </c>
      <c r="BP37" s="207">
        <f>INDEX($A$35:$H$42,MATCH($L37,$B$35:$B$42,0),MATCH($BC$34,$A$35:$H$35,0))*고양시_Modal_split!P$3 * 0.01</f>
        <v>8.6692221337214992E-2</v>
      </c>
      <c r="BQ37" s="207">
        <f>INDEX($A$35:$H$42,MATCH($L37,$B$35:$B$42,0),MATCH($BQ$34,$A$35:$H$35,0))*고양시_Modal_split!C$3 * 0.01</f>
        <v>6.877582892752354E-4</v>
      </c>
      <c r="BR37" s="207">
        <f>INDEX($A$35:$H$42,MATCH($L37,$B$35:$B$42,0),MATCH($BQ$34,$A$35:$H$35,0))*고양시_Modal_split!D$3 * 0.01</f>
        <v>0.11551882980219402</v>
      </c>
      <c r="BS37" s="207">
        <f>INDEX($A$35:$H$42,MATCH($L37,$B$35:$B$42,0),MATCH($BQ$34,$A$35:$H$35,0))*고양시_Modal_split!E$3 * 0.01</f>
        <v>1.3976230949914606E-2</v>
      </c>
      <c r="BT37" s="207">
        <f>INDEX($A$35:$H$42,MATCH($L37,$B$35:$B$42,0),MATCH($BQ$34,$A$35:$H$35,0))*고양시_Modal_split!F$3 * 0.01</f>
        <v>2.2524083973763962E-2</v>
      </c>
      <c r="BU37" s="207">
        <f>INDEX($A$35:$H$42,MATCH($L37,$B$35:$B$42,0),MATCH($BQ$34,$A$35:$H$35,0))*고양시_Modal_split!G$3 * 0.01</f>
        <v>2.2597772361900594E-3</v>
      </c>
      <c r="BV37" s="207">
        <f>INDEX($A$35:$H$42,MATCH($L37,$B$35:$B$42,0),MATCH($BQ$34,$A$35:$H$35,0))*고양시_Modal_split!H$3 * 0.01</f>
        <v>2.4562796045544125E-5</v>
      </c>
      <c r="BW37" s="207">
        <f>INDEX($A$35:$H$42,MATCH($L37,$B$35:$B$42,0),MATCH($BQ$34,$A$35:$H$35,0))*고양시_Modal_split!I$3 * 0.01</f>
        <v>6.8284573006612663E-3</v>
      </c>
      <c r="BX37" s="207">
        <f>INDEX($A$35:$H$42,MATCH($L37,$B$35:$B$42,0),MATCH($BQ$34,$A$35:$H$35,0))*고양시_Modal_split!J$3 * 0.01</f>
        <v>7.4769151162636313E-2</v>
      </c>
      <c r="BY37" s="207">
        <f>INDEX($A$35:$H$42,MATCH($L37,$B$35:$B$42,0),MATCH($BQ$34,$A$35:$H$35,0))*고양시_Modal_split!K$3 * 0.01</f>
        <v>3.6844194068316185E-4</v>
      </c>
      <c r="BZ37" s="207">
        <f>INDEX($A$35:$H$42,MATCH($L37,$B$35:$B$42,0),MATCH($BQ$34,$A$35:$H$35,0))*고양시_Modal_split!L$3 * 0.01</f>
        <v>7.417964405754326E-3</v>
      </c>
      <c r="CA37" s="207">
        <f>INDEX($A$35:$H$42,MATCH($L37,$B$35:$B$42,0),MATCH($BQ$34,$A$35:$H$35,0))*고양시_Modal_split!M$3 * 0.01</f>
        <v>5.6494430904751485E-4</v>
      </c>
      <c r="CB37" s="207">
        <f>INDEX($A$35:$H$42,MATCH($L37,$B$35:$B$42,0),MATCH($BQ$34,$A$35:$H$35,0))*고양시_Modal_split!N$3 * 0.01</f>
        <v>2.4562796045544125E-4</v>
      </c>
      <c r="CC37" s="207">
        <f>INDEX($A$35:$H$42,MATCH($L37,$B$35:$B$42,0),MATCH($BQ$34,$A$35:$H$35,0))*고양시_Modal_split!O$3 * 0.01</f>
        <v>4.421303288197942E-4</v>
      </c>
      <c r="CD37" s="207">
        <f>INDEX($A$35:$H$42,MATCH($L37,$B$35:$B$42,0),MATCH($BQ$34,$A$35:$H$35,0))*고양시_Modal_split!P$3 * 0.01</f>
        <v>0.24562796045544125</v>
      </c>
      <c r="CE37" s="304">
        <f t="shared" ref="CE37:CE42" si="12">M37+AA37+AO37+BC37+BQ37</f>
        <v>2.3695093602179993</v>
      </c>
      <c r="CF37" s="304">
        <f t="shared" si="7"/>
        <v>397.99294718233051</v>
      </c>
      <c r="CG37" s="304">
        <f t="shared" si="7"/>
        <v>48.151815213001498</v>
      </c>
      <c r="CH37" s="304">
        <f t="shared" si="7"/>
        <v>77.601431547139512</v>
      </c>
      <c r="CI37" s="304">
        <f t="shared" si="7"/>
        <v>7.7855307550019983</v>
      </c>
      <c r="CJ37" s="304">
        <f t="shared" si="7"/>
        <v>8.4625334293499999E-2</v>
      </c>
      <c r="CK37" s="304">
        <f t="shared" si="7"/>
        <v>23.525842933592997</v>
      </c>
      <c r="CL37" s="304">
        <f t="shared" si="7"/>
        <v>257.59951758941401</v>
      </c>
      <c r="CM37" s="304">
        <f t="shared" si="7"/>
        <v>1.2693800144025</v>
      </c>
      <c r="CN37" s="304">
        <f t="shared" si="7"/>
        <v>25.556850956637003</v>
      </c>
      <c r="CO37" s="304">
        <f t="shared" si="7"/>
        <v>1.9463826887504996</v>
      </c>
      <c r="CP37" s="304">
        <f t="shared" si="7"/>
        <v>0.8462533429350001</v>
      </c>
      <c r="CQ37" s="304">
        <f t="shared" si="7"/>
        <v>1.5232560172830001</v>
      </c>
      <c r="CR37" s="304">
        <f t="shared" si="7"/>
        <v>846.25334293500009</v>
      </c>
      <c r="CS37" s="305">
        <f t="shared" ref="CS37:CS42" si="13">H37-CR37</f>
        <v>0</v>
      </c>
      <c r="CV37" s="265"/>
      <c r="CW37" s="265" t="s">
        <v>713</v>
      </c>
      <c r="CX37" s="267">
        <f>INDEX($M$34:$Z$42,MATCH($CW37,$L$34:$L$42,0),MATCH(CX$35,$M$35:$Z$35,0))/INDEX(고양시_재차인원!$D$4:$H$35,MATCH("고양시",고양시_재차인원!$B$4:$B$35,0),MATCH($CX$34,고양시_재차인원!$D$4:$H$4,0))</f>
        <v>38.945134900224964</v>
      </c>
      <c r="CY37" s="267">
        <f>INDEX($M$34:$Z$42,MATCH($CW37,$L$34:$L$42,0),MATCH(CY$35,$M$35:$Z$35,0))/INDEX(고양시_재차인원!$K$4:$O$20,MATCH("경기도",고양시_재차인원!$K$4:$K$20,0),MATCH(CY$35,고양시_재차인원!$K$4:$O$4,0))</f>
        <v>3.2214737105683701E-4</v>
      </c>
      <c r="CZ37" s="267">
        <f>INDEX($M$34:$Z$42,MATCH($CW37,$L$34:$L$42,0),MATCH(CZ$35,$M$35:$Z$35,0))/INDEX(고양시_재차인원!$K$4:$O$20,MATCH("경기도",고양시_재차인원!$K$4:$K$20,0),MATCH(CZ$35,고양시_재차인원!$K$4:$O$4,0))</f>
        <v>8.9556969153800681E-2</v>
      </c>
      <c r="DA37" s="267">
        <f>INDEX($M$34:$Z$42,MATCH($CW37,$L$34:$L$42,0),MATCH(DA$35,$M$35:$Z$35,0))/INDEX(고양시_재차인원!$D$4:$H$35,MATCH("고양시",고양시_재차인원!$B$4:$B$35,0),MATCH($CX$34,고양시_재차인원!$D$4:$H$4,0))</f>
        <v>2.5008357941458512</v>
      </c>
      <c r="DB37" s="267">
        <f>INDEX($AA$34:$AN$42,MATCH($CW37,$L$34:$L$42,0),MATCH(DB$35,$AA$35:$AN$35,0))/INDEX(고양시_재차인원!$D$4:$H$35,MATCH("고양시",고양시_재차인원!$B$4:$B$35,0),MATCH($DB$34,고양시_재차인원!$D$4:$H$4,0))</f>
        <v>240.55579430857449</v>
      </c>
      <c r="DC37" s="267">
        <f>INDEX($AA$34:$AN$42,MATCH($CW37,$L$34:$L$42,0),MATCH(DC$35,$AA$35:$AN$35,0))/INDEX(고양시_재차인원!$K$4:$O$20,MATCH("경기도",고양시_재차인원!$K$4:$K$20,0),MATCH(DC$35,고양시_재차인원!$K$4:$O$4,0))</f>
        <v>2.5050609170123171E-3</v>
      </c>
      <c r="DD37" s="267">
        <f>INDEX($AA$34:$AN$42,MATCH($CW37,$L$34:$L$42,0),MATCH(DD$35,$AA$35:$AN$35,0))/INDEX(고양시_재차인원!$K$4:$O$20,MATCH("경기도",고양시_재차인원!$K$4:$K$20,0),MATCH(DD$35,고양시_재차인원!$K$4:$O$4,0))</f>
        <v>0.69640693492942418</v>
      </c>
      <c r="DE37" s="267">
        <f>INDEX($AA$34:$AN$42,MATCH($CW37,$L$34:$L$42,0),MATCH(DE$35,$AA$35:$AN$35,0))/INDEX(고양시_재차인원!$D$4:$H$35,MATCH("고양시",고양시_재차인원!$B$4:$B$35,0),MATCH($DB$34,고양시_재차인원!$D$4:$H$4,0))</f>
        <v>15.447129466551033</v>
      </c>
      <c r="DF37" s="267">
        <f>INDEX($AO$34:$BB$42,MATCH($CW37,$L$34:$L$42,0),MATCH(DF$35,$AO$35:$BB$35,0))/INDEX(고양시_재차인원!$D$4:$H$35,MATCH("고양시",고양시_재차인원!$B$4:$B$35,0),MATCH($DF$34,고양시_재차인원!$D$4:$H$4,0))</f>
        <v>11.564950721147266</v>
      </c>
      <c r="DG37" s="267">
        <f>INDEX($AO$34:$BB$42,MATCH($CW37,$L$34:$L$42,0),MATCH(DG$35,$AO$35:$BB$35,0))/INDEX(고양시_재차인원!$K$4:$O$20,MATCH("경기도",고양시_재차인원!$K$4:$K$20,0),MATCH(DG$35,고양시_재차인원!$K$4:$O$4,0))</f>
        <v>1.1103770968425811E-4</v>
      </c>
      <c r="DH37" s="267">
        <f>INDEX($AO$34:$BB$42,MATCH($CW37,$L$34:$L$42,0),MATCH(DH$35,$AO$35:$BB$35,0))/INDEX(고양시_재차인원!$K$4:$O$20,MATCH("경기도",고양시_재차인원!$K$4:$K$20,0),MATCH(DH$35,고양시_재차인원!$K$4:$O$4,0))</f>
        <v>3.0868483292223751E-2</v>
      </c>
      <c r="DI37" s="267">
        <f>INDEX($AO$34:$BB$42,MATCH($CW37,$L$34:$L$42,0),MATCH(DI$35,$AO$35:$BB$35,0))/INDEX(고양시_재차인원!$D$4:$H$35,MATCH("고양시",고양시_재차인원!$B$4:$B$35,0),MATCH($DF$34,고양시_재차인원!$D$4:$H$4,0))</f>
        <v>0.74263557682042824</v>
      </c>
      <c r="DJ37" s="267">
        <f>INDEX($BC$34:$BP$42,MATCH($CW37,$L$34:$L$42,0),MATCH(DJ$35,$BC$35:$BP$35,0))/INDEX(고양시_재차인원!$D$4:$H$35,MATCH("고양시",고양시_재차인원!$B$4:$B$35,0),MATCH($DJ$34,고양시_재차인원!$D$4:$H$4,0))</f>
        <v>2.9978935069773682E-2</v>
      </c>
      <c r="DK37" s="267">
        <f>INDEX($BC$34:$BP$42,MATCH($CW37,$L$34:$L$42,0),MATCH(DK$35,$BC$35:$BP$35,0))/INDEX(고양시_재차인원!$K$4:$O$20,MATCH("경기도",고양시_재차인원!$K$4:$K$20,0),MATCH(DK$35,고양시_재차인원!$K$4:$O$4,0))</f>
        <v>3.0111921270307397E-7</v>
      </c>
      <c r="DL37" s="267">
        <f>INDEX($BC$34:$BP$42,MATCH($CW37,$L$34:$L$42,0),MATCH(DL$35,$BC$35:$BP$35,0))/INDEX(고양시_재차인원!$K$4:$O$20,MATCH("경기도",고양시_재차인원!$K$4:$K$20,0),MATCH(DL$35,고양시_재차인원!$K$4:$O$4,0))</f>
        <v>8.3711141131454558E-5</v>
      </c>
      <c r="DM37" s="267">
        <f>INDEX($BC$34:$BP$42,MATCH($CW37,$L$34:$L$42,0),MATCH(DM$35,$BC$35:$BP$35,0))/INDEX(고양시_재차인원!$D$4:$H$35,MATCH("고양시",고양시_재차인원!$B$4:$B$35,0),MATCH($DJ$34,고양시_재차인원!$D$4:$H$4,0))</f>
        <v>1.9250772679293327E-3</v>
      </c>
      <c r="DN37" s="267">
        <f>INDEX($BQ$34:$CD$42,MATCH($CW37,$L$34:$L$42,0),MATCH(DN$35,$BQ$35:$CD$35,0))/INDEX(고양시_재차인원!$D$4:$H$35,MATCH("고양시",고양시_재차인원!$B$4:$B$35,0),MATCH($DN$34,고양시_재차인원!$D$4:$H$4,0))</f>
        <v>9.1681610954122236E-2</v>
      </c>
      <c r="DO37" s="267">
        <f>INDEX($BQ$34:$CD$42,MATCH($CW37,$L$34:$L$42,0),MATCH(DO$35,$BQ$35:$CD$35,0))/INDEX(고양시_재차인원!$K$4:$O$20,MATCH("경기도",고양시_재차인원!$K$4:$K$20,0),MATCH(DO$35,고양시_재차인원!$K$4:$O$4,0))</f>
        <v>8.5317110265870527E-7</v>
      </c>
      <c r="DP37" s="267">
        <f>INDEX($BQ$34:$CD$42,MATCH($CW37,$L$34:$L$42,0),MATCH(DP$35,$BQ$35:$CD$35,0))/INDEX(고양시_재차인원!$K$4:$O$20,MATCH("경기도",고양시_재차인원!$K$4:$K$20,0),MATCH(DP$35,고양시_재차인원!$K$4:$O$4,0))</f>
        <v>2.3718156653912005E-4</v>
      </c>
      <c r="DQ37" s="267">
        <f>INDEX($BQ$34:$CD$42,MATCH($CW37,$L$34:$L$42,0),MATCH(DQ$35,$BQ$35:$CD$35,0))/INDEX(고양시_재차인원!$D$4:$H$35,MATCH("고양시",고양시_재차인원!$B$4:$B$35,0),MATCH($DN$34,고양시_재차인원!$D$4:$H$4,0))</f>
        <v>5.8872733379002583E-3</v>
      </c>
      <c r="DR37" s="270">
        <f t="shared" ref="DR37:DR42" si="14">CX37+DB37+DF37+DJ37+DN37</f>
        <v>291.18754047597065</v>
      </c>
      <c r="DS37" s="270">
        <f t="shared" si="8"/>
        <v>2.9394002880687737E-3</v>
      </c>
      <c r="DT37" s="270">
        <f t="shared" si="8"/>
        <v>0.81715328008311927</v>
      </c>
      <c r="DU37" s="270">
        <f t="shared" si="8"/>
        <v>18.698413188123144</v>
      </c>
      <c r="DW37" s="278"/>
      <c r="DX37" s="278" t="s">
        <v>713</v>
      </c>
      <c r="DY37" s="281">
        <f t="shared" ref="DY37:DY42" si="15">DR37+DU37</f>
        <v>309.88595366409379</v>
      </c>
      <c r="DZ37" s="281">
        <f t="shared" ref="DZ37:DZ42" si="16">DS37+DT37</f>
        <v>0.8200926803711881</v>
      </c>
      <c r="EB37" s="278"/>
      <c r="EC37" s="278" t="s">
        <v>668</v>
      </c>
      <c r="ED37" s="281">
        <f t="shared" ref="ED37:ED42" si="17">DY37</f>
        <v>309.88595366409379</v>
      </c>
      <c r="EE37" s="281">
        <f t="shared" si="9"/>
        <v>0.8200926803711881</v>
      </c>
    </row>
    <row r="38" spans="1:157" ht="37.5">
      <c r="A38" s="205" t="s">
        <v>701</v>
      </c>
      <c r="B38" s="205" t="s">
        <v>716</v>
      </c>
      <c r="C38" s="400">
        <f>$D10*KTDB_TripDistribution_2025!L$12 * (1+KTDB_발생량도착량_증가율!$C$8)</f>
        <v>17.779191472503477</v>
      </c>
      <c r="D38" s="400">
        <f>$D10*KTDB_TripDistribution_2025!M$12 * (1+KTDB_발생량도착량_증가율!$C$8)</f>
        <v>138.2533638183539</v>
      </c>
      <c r="E38" s="400">
        <f>$D10*KTDB_TripDistribution_2025!N$12 * (1+KTDB_발생량도착량_증가율!$C$8)</f>
        <v>6.1281291685486838</v>
      </c>
      <c r="F38" s="400">
        <f>$D10*KTDB_TripDistribution_2025!O$12 * (1+KTDB_발생량도착량_증가율!$C$8)</f>
        <v>1.6618655372335474E-2</v>
      </c>
      <c r="G38" s="400">
        <f>$D10*KTDB_TripDistribution_2025!P$12 * (1+KTDB_발생량도착량_증가율!$C$8)</f>
        <v>4.708619022161694E-2</v>
      </c>
      <c r="H38" s="400">
        <f>$D10*KTDB_TripDistribution_2025!Q$12 * (1+KTDB_발생량도착량_증가율!$C$8)</f>
        <v>162.22438930500002</v>
      </c>
      <c r="J38" s="230">
        <f t="shared" si="6"/>
        <v>162.22438930500002</v>
      </c>
      <c r="K38" s="206"/>
      <c r="L38" s="206" t="s">
        <v>715</v>
      </c>
      <c r="M38" s="206">
        <f>INDEX($A$35:$H$42,MATCH($L38,$B$35:$B$42,0),MATCH($M$34,$A$35:$H$35,0))*고양시_Modal_split!C$3 * 0.01</f>
        <v>4.9781736123009734E-2</v>
      </c>
      <c r="N38" s="206">
        <f>INDEX($A$35:$H$42,MATCH($L38,$B$35:$B$42,0),MATCH($M$34,$A$35:$H$35,0))*고양시_Modal_split!D$3 * 0.01</f>
        <v>8.3615537495183858</v>
      </c>
      <c r="O38" s="206">
        <f>INDEX($A$35:$H$42,MATCH($L38,$B$35:$B$42,0),MATCH($M$34,$A$35:$H$35,0))*고양시_Modal_split!E$3 * 0.01</f>
        <v>1.0116359947854479</v>
      </c>
      <c r="P38" s="206">
        <f>INDEX($A$35:$H$42,MATCH($L38,$B$35:$B$42,0),MATCH($M$34,$A$35:$H$35,0))*고양시_Modal_split!F$3 * 0.01</f>
        <v>1.630351858028569</v>
      </c>
      <c r="Q38" s="206">
        <f>INDEX($A$35:$H$42,MATCH($L38,$B$35:$B$42,0),MATCH($M$34,$A$35:$H$35,0))*고양시_Modal_split!G$3 * 0.01</f>
        <v>0.16356856154703198</v>
      </c>
      <c r="R38" s="206">
        <f>INDEX($A$35:$H$42,MATCH($L38,$B$35:$B$42,0),MATCH($M$34,$A$35:$H$35,0))*고양시_Modal_split!H$3 * 0.01</f>
        <v>1.7779191472503477E-3</v>
      </c>
      <c r="S38" s="206">
        <f>INDEX($A$35:$H$42,MATCH($L38,$B$35:$B$42,0),MATCH($M$34,$A$35:$H$35,0))*고양시_Modal_split!I$3 * 0.01</f>
        <v>0.49426152293559661</v>
      </c>
      <c r="T38" s="206">
        <f>INDEX($A$35:$H$42,MATCH($L38,$B$35:$B$42,0),MATCH($M$34,$A$35:$H$35,0))*고양시_Modal_split!J$3 * 0.01</f>
        <v>5.4119858842300586</v>
      </c>
      <c r="U38" s="206">
        <f>INDEX($A$35:$H$42,MATCH($L38,$B$35:$B$42,0),MATCH($M$34,$A$35:$H$35,0))*고양시_Modal_split!K$3 * 0.01</f>
        <v>2.6668787208755217E-2</v>
      </c>
      <c r="V38" s="206">
        <f>INDEX($A$35:$H$42,MATCH($L38,$B$35:$B$42,0),MATCH($M$34,$A$35:$H$35,0))*고양시_Modal_split!L$3 * 0.01</f>
        <v>0.53693158246960504</v>
      </c>
      <c r="W38" s="206">
        <f>INDEX($A$35:$H$42,MATCH($L38,$B$35:$B$42,0),MATCH($M$34,$A$35:$H$35,0))*고양시_Modal_split!M$3 * 0.01</f>
        <v>4.0892140386757994E-2</v>
      </c>
      <c r="X38" s="206">
        <f>INDEX($A$35:$H$42,MATCH($L38,$B$35:$B$42,0),MATCH($M$34,$A$35:$H$35,0))*고양시_Modal_split!N$3 * 0.01</f>
        <v>1.7779191472503477E-2</v>
      </c>
      <c r="Y38" s="206">
        <f>INDEX($A$35:$H$42,MATCH($L38,$B$35:$B$42,0),MATCH($M$34,$A$35:$H$35,0))*고양시_Modal_split!O$3 * 0.01</f>
        <v>3.2002544650506261E-2</v>
      </c>
      <c r="Z38" s="209">
        <f>INDEX($A$35:$H$42,MATCH($L38,$B$35:$B$42,0),MATCH($M$34,$A$35:$H$35,0))*고양시_Modal_split!P$3 * 0.01</f>
        <v>17.779191472503477</v>
      </c>
      <c r="AA38" s="207">
        <f>INDEX($A$35:$H$42,MATCH($L38,$B$35:$B$42,0),MATCH($AA$34,$A$35:$H$35,0))*고양시_Modal_split!C$3 * 0.01</f>
        <v>0.38710941869139093</v>
      </c>
      <c r="AB38" s="207">
        <f>INDEX($A$35:$H$42,MATCH($L38,$B$35:$B$42,0),MATCH($AA$34,$A$35:$H$35,0))*고양시_Modal_split!D$3 * 0.01</f>
        <v>65.020557003771842</v>
      </c>
      <c r="AC38" s="207">
        <f>INDEX($A$35:$H$42,MATCH($L38,$B$35:$B$42,0),MATCH($AA$34,$A$35:$H$35,0))*고양시_Modal_split!E$3 * 0.01</f>
        <v>7.8666164012643369</v>
      </c>
      <c r="AD38" s="207">
        <f>INDEX($A$35:$H$42,MATCH($L38,$B$35:$B$42,0),MATCH($AA$34,$A$35:$H$35,0))*고양시_Modal_split!F$3 * 0.01</f>
        <v>12.677833462143054</v>
      </c>
      <c r="AE38" s="207">
        <f>INDEX($A$35:$H$42,MATCH($L38,$B$35:$B$42,0),MATCH($AA$34,$A$35:$H$35,0))*고양시_Modal_split!G$3 * 0.01</f>
        <v>1.2719309471288558</v>
      </c>
      <c r="AF38" s="207">
        <f>INDEX($A$35:$H$42,MATCH($L38,$B$35:$B$42,0),MATCH($AA$34,$A$35:$H$35,0))*고양시_Modal_split!H$3 * 0.01</f>
        <v>1.3825336381835392E-2</v>
      </c>
      <c r="AG38" s="207">
        <f>INDEX($A$35:$H$42,MATCH($L38,$B$35:$B$42,0),MATCH($AA$34,$A$35:$H$35,0))*고양시_Modal_split!I$3 * 0.01</f>
        <v>3.8434435141502381</v>
      </c>
      <c r="AH38" s="207">
        <f>INDEX($A$35:$H$42,MATCH($L38,$B$35:$B$42,0),MATCH($AA$34,$A$35:$H$35,0))*고양시_Modal_split!J$3 * 0.01</f>
        <v>42.084323946306931</v>
      </c>
      <c r="AI38" s="207">
        <f>INDEX($A$35:$H$42,MATCH($L38,$B$35:$B$42,0),MATCH($AA$34,$A$35:$H$35,0))*고양시_Modal_split!K$3 * 0.01</f>
        <v>0.20738004572753085</v>
      </c>
      <c r="AJ38" s="207">
        <f>INDEX($A$35:$H$42,MATCH($L38,$B$35:$B$42,0),MATCH($AA$34,$A$35:$H$35,0))*고양시_Modal_split!L$3 * 0.01</f>
        <v>4.1752515873142881</v>
      </c>
      <c r="AK38" s="207">
        <f>INDEX($A$35:$H$42,MATCH($L38,$B$35:$B$42,0),MATCH($AA$34,$A$35:$H$35,0))*고양시_Modal_split!M$3 * 0.01</f>
        <v>0.31798273678221395</v>
      </c>
      <c r="AL38" s="207">
        <f>INDEX($A$35:$H$42,MATCH($L38,$B$35:$B$42,0),MATCH($AA$34,$A$35:$H$35,0))*고양시_Modal_split!N$3 * 0.01</f>
        <v>0.13825336381835393</v>
      </c>
      <c r="AM38" s="207">
        <f>INDEX($A$35:$H$42,MATCH($L38,$B$35:$B$42,0),MATCH($AA$34,$A$35:$H$35,0))*고양시_Modal_split!O$3 * 0.01</f>
        <v>0.24885605487303702</v>
      </c>
      <c r="AN38" s="207">
        <f>INDEX($A$35:$H$42,MATCH($L38,$B$35:$B$42,0),MATCH($AA$34,$A$35:$H$35,0))*고양시_Modal_split!P$3 * 0.01</f>
        <v>138.2533638183539</v>
      </c>
      <c r="AO38" s="303">
        <f>INDEX($A$35:$H$42,MATCH($L38,$B$35:$B$42,0),MATCH($AO$34,$A$35:$H$35,0))*고양시_Modal_split!C$3 * 0.01</f>
        <v>1.7158761671936314E-2</v>
      </c>
      <c r="AP38" s="303">
        <f>INDEX($A$35:$H$42,MATCH($L38,$B$35:$B$42,0),MATCH($AO$34,$A$35:$H$35,0))*고양시_Modal_split!D$3 * 0.01</f>
        <v>2.8820591479684459</v>
      </c>
      <c r="AQ38" s="303">
        <f>INDEX($A$35:$H$42,MATCH($L38,$B$35:$B$42,0),MATCH($AO$34,$A$35:$H$35,0))*고양시_Modal_split!E$3 * 0.01</f>
        <v>0.34869054969042013</v>
      </c>
      <c r="AR38" s="303">
        <f>INDEX($A$35:$H$42,MATCH($L38,$B$35:$B$42,0),MATCH($AO$34,$A$35:$H$35,0))*고양시_Modal_split!F$3 * 0.01</f>
        <v>0.56194944475591424</v>
      </c>
      <c r="AS38" s="303">
        <f>INDEX($A$35:$H$42,MATCH($L38,$B$35:$B$42,0),MATCH($AO$34,$A$35:$H$35,0))*고양시_Modal_split!G$3 * 0.01</f>
        <v>5.6378788350647885E-2</v>
      </c>
      <c r="AT38" s="303">
        <f>INDEX($A$35:$H$42,MATCH($L38,$B$35:$B$42,0),MATCH($AO$34,$A$35:$H$35,0))*고양시_Modal_split!H$3 * 0.01</f>
        <v>6.1281291685486841E-4</v>
      </c>
      <c r="AU38" s="303">
        <f>INDEX($A$35:$H$42,MATCH($L38,$B$35:$B$42,0),MATCH($AO$34,$A$35:$H$35,0))*고양시_Modal_split!I$3 * 0.01</f>
        <v>0.1703619908856534</v>
      </c>
      <c r="AV38" s="303">
        <f>INDEX($A$35:$H$42,MATCH($L38,$B$35:$B$42,0),MATCH($AO$34,$A$35:$H$35,0))*고양시_Modal_split!J$3 * 0.01</f>
        <v>1.8654025189062193</v>
      </c>
      <c r="AW38" s="303">
        <f>INDEX($A$35:$H$42,MATCH($L38,$B$35:$B$42,0),MATCH($AO$34,$A$35:$H$35,0))*고양시_Modal_split!K$3 * 0.01</f>
        <v>9.1921937528230257E-3</v>
      </c>
      <c r="AX38" s="303">
        <f>INDEX($A$35:$H$42,MATCH($L38,$B$35:$B$42,0),MATCH($AO$34,$A$35:$H$35,0))*고양시_Modal_split!L$3 * 0.01</f>
        <v>0.18506950089017024</v>
      </c>
      <c r="AY38" s="303">
        <f>INDEX($A$35:$H$42,MATCH($L38,$B$35:$B$42,0),MATCH($AO$34,$A$35:$H$35,0))*고양시_Modal_split!M$3 * 0.01</f>
        <v>1.4094697087661971E-2</v>
      </c>
      <c r="AZ38" s="303">
        <f>INDEX($A$35:$H$42,MATCH($L38,$B$35:$B$42,0),MATCH($AO$34,$A$35:$H$35,0))*고양시_Modal_split!N$3 * 0.01</f>
        <v>6.1281291685486841E-3</v>
      </c>
      <c r="BA38" s="207">
        <f>INDEX($A$35:$H$42,MATCH($L38,$B$35:$B$42,0),MATCH($AO$34,$A$35:$H$35,0))*고양시_Modal_split!O$3 * 0.01</f>
        <v>1.103063250338763E-2</v>
      </c>
      <c r="BB38" s="207">
        <f>INDEX($A$35:$H$42,MATCH($L38,$B$35:$B$42,0),MATCH($AO$34,$A$35:$H$35,0))*고양시_Modal_split!P$3 * 0.01</f>
        <v>6.1281291685486838</v>
      </c>
      <c r="BC38" s="207">
        <f>INDEX($A$35:$H$42,MATCH($L38,$B$35:$B$42,0),MATCH($BC$34,$A$35:$H$35,0))*고양시_Modal_split!C$3 * 0.01</f>
        <v>4.6532235042539327E-5</v>
      </c>
      <c r="BD38" s="207">
        <f>INDEX($A$35:$H$42,MATCH($L38,$B$35:$B$42,0),MATCH($BC$34,$A$35:$H$35,0))*고양시_Modal_split!D$3 * 0.01</f>
        <v>7.8157536216093733E-3</v>
      </c>
      <c r="BE38" s="207">
        <f>INDEX($A$35:$H$42,MATCH($L38,$B$35:$B$42,0),MATCH($BC$34,$A$35:$H$35,0))*고양시_Modal_split!E$3 * 0.01</f>
        <v>9.4560149068588842E-4</v>
      </c>
      <c r="BF38" s="207">
        <f>INDEX($A$35:$H$42,MATCH($L38,$B$35:$B$42,0),MATCH($BC$34,$A$35:$H$35,0))*고양시_Modal_split!F$3 * 0.01</f>
        <v>1.523930697643163E-3</v>
      </c>
      <c r="BG38" s="207">
        <f>INDEX($A$35:$H$42,MATCH($L38,$B$35:$B$42,0),MATCH($BC$34,$A$35:$H$35,0))*고양시_Modal_split!G$3 * 0.01</f>
        <v>1.5289162942548636E-4</v>
      </c>
      <c r="BH38" s="207">
        <f>INDEX($A$35:$H$42,MATCH($L38,$B$35:$B$42,0),MATCH($BC$34,$A$35:$H$35,0))*고양시_Modal_split!H$3 * 0.01</f>
        <v>1.6618655372335475E-6</v>
      </c>
      <c r="BI38" s="207">
        <f>INDEX($A$35:$H$42,MATCH($L38,$B$35:$B$42,0),MATCH($BC$34,$A$35:$H$35,0))*고양시_Modal_split!I$3 * 0.01</f>
        <v>4.6199861935092615E-4</v>
      </c>
      <c r="BJ38" s="207">
        <f>INDEX($A$35:$H$42,MATCH($L38,$B$35:$B$42,0),MATCH($BC$34,$A$35:$H$35,0))*고양시_Modal_split!J$3 * 0.01</f>
        <v>5.0587186953389186E-3</v>
      </c>
      <c r="BK38" s="207">
        <f>INDEX($A$35:$H$42,MATCH($L38,$B$35:$B$42,0),MATCH($BC$34,$A$35:$H$35,0))*고양시_Modal_split!K$3 * 0.01</f>
        <v>2.4927983058503213E-5</v>
      </c>
      <c r="BL38" s="207">
        <f>INDEX($A$35:$H$42,MATCH($L38,$B$35:$B$42,0),MATCH($BC$34,$A$35:$H$35,0))*고양시_Modal_split!L$3 * 0.01</f>
        <v>5.018833922445314E-4</v>
      </c>
      <c r="BM38" s="207">
        <f>INDEX($A$35:$H$42,MATCH($L38,$B$35:$B$42,0),MATCH($BC$34,$A$35:$H$35,0))*고양시_Modal_split!M$3 * 0.01</f>
        <v>3.8222907356371591E-5</v>
      </c>
      <c r="BN38" s="207">
        <f>INDEX($A$35:$H$42,MATCH($L38,$B$35:$B$42,0),MATCH($BC$34,$A$35:$H$35,0))*고양시_Modal_split!N$3 * 0.01</f>
        <v>1.6618655372335478E-5</v>
      </c>
      <c r="BO38" s="207">
        <f>INDEX($A$35:$H$42,MATCH($L38,$B$35:$B$42,0),MATCH($BC$34,$A$35:$H$35,0))*고양시_Modal_split!O$3 * 0.01</f>
        <v>2.9913579670203852E-5</v>
      </c>
      <c r="BP38" s="207">
        <f>INDEX($A$35:$H$42,MATCH($L38,$B$35:$B$42,0),MATCH($BC$34,$A$35:$H$35,0))*고양시_Modal_split!P$3 * 0.01</f>
        <v>1.6618655372335474E-2</v>
      </c>
      <c r="BQ38" s="207">
        <f>INDEX($A$35:$H$42,MATCH($L38,$B$35:$B$42,0),MATCH($BQ$34,$A$35:$H$35,0))*고양시_Modal_split!C$3 * 0.01</f>
        <v>1.3184133262052742E-4</v>
      </c>
      <c r="BR38" s="207">
        <f>INDEX($A$35:$H$42,MATCH($L38,$B$35:$B$42,0),MATCH($BQ$34,$A$35:$H$35,0))*고양시_Modal_split!D$3 * 0.01</f>
        <v>2.214463526122645E-2</v>
      </c>
      <c r="BS38" s="207">
        <f>INDEX($A$35:$H$42,MATCH($L38,$B$35:$B$42,0),MATCH($BQ$34,$A$35:$H$35,0))*고양시_Modal_split!E$3 * 0.01</f>
        <v>2.6792042236100039E-3</v>
      </c>
      <c r="BT38" s="207">
        <f>INDEX($A$35:$H$42,MATCH($L38,$B$35:$B$42,0),MATCH($BQ$34,$A$35:$H$35,0))*고양시_Modal_split!F$3 * 0.01</f>
        <v>4.3178036433222733E-3</v>
      </c>
      <c r="BU38" s="207">
        <f>INDEX($A$35:$H$42,MATCH($L38,$B$35:$B$42,0),MATCH($BQ$34,$A$35:$H$35,0))*고양시_Modal_split!G$3 * 0.01</f>
        <v>4.331929500388758E-4</v>
      </c>
      <c r="BV38" s="207">
        <f>INDEX($A$35:$H$42,MATCH($L38,$B$35:$B$42,0),MATCH($BQ$34,$A$35:$H$35,0))*고양시_Modal_split!H$3 * 0.01</f>
        <v>4.7086190221616942E-6</v>
      </c>
      <c r="BW38" s="207">
        <f>INDEX($A$35:$H$42,MATCH($L38,$B$35:$B$42,0),MATCH($BQ$34,$A$35:$H$35,0))*고양시_Modal_split!I$3 * 0.01</f>
        <v>1.3089960881609507E-3</v>
      </c>
      <c r="BX38" s="207">
        <f>INDEX($A$35:$H$42,MATCH($L38,$B$35:$B$42,0),MATCH($BQ$34,$A$35:$H$35,0))*고양시_Modal_split!J$3 * 0.01</f>
        <v>1.4333036303460198E-2</v>
      </c>
      <c r="BY38" s="207">
        <f>INDEX($A$35:$H$42,MATCH($L38,$B$35:$B$42,0),MATCH($BQ$34,$A$35:$H$35,0))*고양시_Modal_split!K$3 * 0.01</f>
        <v>7.0629285332425416E-5</v>
      </c>
      <c r="BZ38" s="207">
        <f>INDEX($A$35:$H$42,MATCH($L38,$B$35:$B$42,0),MATCH($BQ$34,$A$35:$H$35,0))*고양시_Modal_split!L$3 * 0.01</f>
        <v>1.4220029446928317E-3</v>
      </c>
      <c r="CA38" s="207">
        <f>INDEX($A$35:$H$42,MATCH($L38,$B$35:$B$42,0),MATCH($BQ$34,$A$35:$H$35,0))*고양시_Modal_split!M$3 * 0.01</f>
        <v>1.0829823750971895E-4</v>
      </c>
      <c r="CB38" s="207">
        <f>INDEX($A$35:$H$42,MATCH($L38,$B$35:$B$42,0),MATCH($BQ$34,$A$35:$H$35,0))*고양시_Modal_split!N$3 * 0.01</f>
        <v>4.7086190221616944E-5</v>
      </c>
      <c r="CC38" s="207">
        <f>INDEX($A$35:$H$42,MATCH($L38,$B$35:$B$42,0),MATCH($BQ$34,$A$35:$H$35,0))*고양시_Modal_split!O$3 * 0.01</f>
        <v>8.4755142398910505E-5</v>
      </c>
      <c r="CD38" s="207">
        <f>INDEX($A$35:$H$42,MATCH($L38,$B$35:$B$42,0),MATCH($BQ$34,$A$35:$H$35,0))*고양시_Modal_split!P$3 * 0.01</f>
        <v>4.7086190221616947E-2</v>
      </c>
      <c r="CE38" s="304">
        <f t="shared" si="12"/>
        <v>0.45422829005400001</v>
      </c>
      <c r="CF38" s="304">
        <f t="shared" si="7"/>
        <v>76.29413029014151</v>
      </c>
      <c r="CG38" s="304">
        <f t="shared" si="7"/>
        <v>9.230567751454501</v>
      </c>
      <c r="CH38" s="304">
        <f t="shared" si="7"/>
        <v>14.875976499268504</v>
      </c>
      <c r="CI38" s="304">
        <f t="shared" si="7"/>
        <v>1.4924643816060001</v>
      </c>
      <c r="CJ38" s="304">
        <f t="shared" si="7"/>
        <v>1.6222438930500002E-2</v>
      </c>
      <c r="CK38" s="304">
        <f t="shared" si="7"/>
        <v>4.5098380226790002</v>
      </c>
      <c r="CL38" s="304">
        <f t="shared" si="7"/>
        <v>49.381104104442009</v>
      </c>
      <c r="CM38" s="304">
        <f t="shared" si="7"/>
        <v>0.24333658395749999</v>
      </c>
      <c r="CN38" s="304">
        <f t="shared" si="7"/>
        <v>4.8991765570110015</v>
      </c>
      <c r="CO38" s="304">
        <f t="shared" si="7"/>
        <v>0.37311609540150004</v>
      </c>
      <c r="CP38" s="304">
        <f t="shared" si="7"/>
        <v>0.16222438930500005</v>
      </c>
      <c r="CQ38" s="304">
        <f t="shared" si="7"/>
        <v>0.29200390074900007</v>
      </c>
      <c r="CR38" s="304">
        <f t="shared" si="7"/>
        <v>162.22438930500002</v>
      </c>
      <c r="CS38" s="305">
        <f t="shared" si="13"/>
        <v>0</v>
      </c>
      <c r="CV38" s="265"/>
      <c r="CW38" s="265" t="s">
        <v>715</v>
      </c>
      <c r="CX38" s="267">
        <f>INDEX($M$34:$Z$42,MATCH($CW38,$L$34:$L$42,0),MATCH(CX$35,$M$35:$Z$35,0))/INDEX(고양시_재차인원!$D$4:$H$35,MATCH("고양시",고양시_재차인원!$B$4:$B$35,0),MATCH($CX$34,고양시_재차인원!$D$4:$H$4,0))</f>
        <v>7.4656729906414148</v>
      </c>
      <c r="CY38" s="267">
        <f>INDEX($M$34:$Z$42,MATCH($CW38,$L$34:$L$42,0),MATCH(CY$35,$M$35:$Z$35,0))/INDEX(고양시_재차인원!$K$4:$O$20,MATCH("경기도",고양시_재차인원!$K$4:$K$20,0),MATCH(CY$35,고양시_재차인원!$K$4:$O$4,0))</f>
        <v>6.1754746344228829E-5</v>
      </c>
      <c r="CZ38" s="267">
        <f>INDEX($M$34:$Z$42,MATCH($CW38,$L$34:$L$42,0),MATCH(CZ$35,$M$35:$Z$35,0))/INDEX(고양시_재차인원!$K$4:$O$20,MATCH("경기도",고양시_재차인원!$K$4:$K$20,0),MATCH(CZ$35,고양시_재차인원!$K$4:$O$4,0))</f>
        <v>1.7167819483695609E-2</v>
      </c>
      <c r="DA38" s="267">
        <f>INDEX($M$34:$Z$42,MATCH($CW38,$L$34:$L$42,0),MATCH(DA$35,$M$35:$Z$35,0))/INDEX(고양시_재차인원!$D$4:$H$35,MATCH("고양시",고양시_재차인원!$B$4:$B$35,0),MATCH($CX$34,고양시_재차인원!$D$4:$H$4,0))</f>
        <v>0.47940319863357589</v>
      </c>
      <c r="DB38" s="267">
        <f>INDEX($AA$34:$AN$42,MATCH($CW38,$L$34:$L$42,0),MATCH(DB$35,$AA$35:$AN$35,0))/INDEX(고양시_재차인원!$D$4:$H$35,MATCH("고양시",고양시_재차인원!$B$4:$B$35,0),MATCH($DB$34,고양시_재차인원!$D$4:$H$4,0))</f>
        <v>46.113870215441025</v>
      </c>
      <c r="DC38" s="267">
        <f>INDEX($AA$34:$AN$42,MATCH($CW38,$L$34:$L$42,0),MATCH(DC$35,$AA$35:$AN$35,0))/INDEX(고양시_재차인원!$K$4:$O$20,MATCH("경기도",고양시_재차인원!$K$4:$K$20,0),MATCH(DC$35,고양시_재차인원!$K$4:$O$4,0))</f>
        <v>4.8021314282165311E-4</v>
      </c>
      <c r="DD38" s="267">
        <f>INDEX($AA$34:$AN$42,MATCH($CW38,$L$34:$L$42,0),MATCH(DD$35,$AA$35:$AN$35,0))/INDEX(고양시_재차인원!$K$4:$O$20,MATCH("경기도",고양시_재차인원!$K$4:$K$20,0),MATCH(DD$35,고양시_재차인원!$K$4:$O$4,0))</f>
        <v>0.13349925370441953</v>
      </c>
      <c r="DE38" s="267">
        <f>INDEX($AA$34:$AN$42,MATCH($CW38,$L$34:$L$42,0),MATCH(DE$35,$AA$35:$AN$35,0))/INDEX(고양시_재차인원!$D$4:$H$35,MATCH("고양시",고양시_재차인원!$B$4:$B$35,0),MATCH($DB$34,고양시_재차인원!$D$4:$H$4,0))</f>
        <v>2.9611713385207721</v>
      </c>
      <c r="DF38" s="267">
        <f>INDEX($AO$34:$BB$42,MATCH($CW38,$L$34:$L$42,0),MATCH(DF$35,$AO$35:$BB$35,0))/INDEX(고양시_재차인원!$D$4:$H$35,MATCH("고양시",고양시_재차인원!$B$4:$B$35,0),MATCH($DF$34,고양시_재차인원!$D$4:$H$4,0))</f>
        <v>2.216968575360343</v>
      </c>
      <c r="DG38" s="267">
        <f>INDEX($AO$34:$BB$42,MATCH($CW38,$L$34:$L$42,0),MATCH(DG$35,$AO$35:$BB$35,0))/INDEX(고양시_재차인원!$K$4:$O$20,MATCH("경기도",고양시_재차인원!$K$4:$K$20,0),MATCH(DG$35,고양시_재차인원!$K$4:$O$4,0))</f>
        <v>2.1285617118960348E-5</v>
      </c>
      <c r="DH38" s="267">
        <f>INDEX($AO$34:$BB$42,MATCH($CW38,$L$34:$L$42,0),MATCH(DH$35,$AO$35:$BB$35,0))/INDEX(고양시_재차인원!$K$4:$O$20,MATCH("경기도",고양시_재차인원!$K$4:$K$20,0),MATCH(DH$35,고양시_재차인원!$K$4:$O$4,0))</f>
        <v>5.9174015590709762E-3</v>
      </c>
      <c r="DI38" s="267">
        <f>INDEX($AO$34:$BB$42,MATCH($CW38,$L$34:$L$42,0),MATCH(DI$35,$AO$35:$BB$35,0))/INDEX(고양시_재차인원!$D$4:$H$35,MATCH("고양시",고양시_재차인원!$B$4:$B$35,0),MATCH($DF$34,고양시_재차인원!$D$4:$H$4,0))</f>
        <v>0.14236115453090017</v>
      </c>
      <c r="DJ38" s="267">
        <f>INDEX($BC$34:$BP$42,MATCH($CW38,$L$34:$L$42,0),MATCH(DJ$35,$BC$35:$BP$35,0))/INDEX(고양시_재차인원!$D$4:$H$35,MATCH("고양시",고양시_재차인원!$B$4:$B$35,0),MATCH($DJ$34,고양시_재차인원!$D$4:$H$4,0))</f>
        <v>5.746877662948068E-3</v>
      </c>
      <c r="DK38" s="267">
        <f>INDEX($BC$34:$BP$42,MATCH($CW38,$L$34:$L$42,0),MATCH(DK$35,$BC$35:$BP$35,0))/INDEX(고양시_재차인원!$K$4:$O$20,MATCH("경기도",고양시_재차인원!$K$4:$K$20,0),MATCH(DK$35,고양시_재차인원!$K$4:$O$4,0))</f>
        <v>5.7723707441248609E-8</v>
      </c>
      <c r="DL38" s="267">
        <f>INDEX($BC$34:$BP$42,MATCH($CW38,$L$34:$L$42,0),MATCH(DL$35,$BC$35:$BP$35,0))/INDEX(고양시_재차인원!$K$4:$O$20,MATCH("경기도",고양시_재차인원!$K$4:$K$20,0),MATCH(DL$35,고양시_재차인원!$K$4:$O$4,0))</f>
        <v>1.6047190668667111E-5</v>
      </c>
      <c r="DM38" s="267">
        <f>INDEX($BC$34:$BP$42,MATCH($CW38,$L$34:$L$42,0),MATCH(DM$35,$BC$35:$BP$35,0))/INDEX(고양시_재차인원!$D$4:$H$35,MATCH("고양시",고양시_재차인원!$B$4:$B$35,0),MATCH($DJ$34,고양시_재차인원!$D$4:$H$4,0))</f>
        <v>3.690319060621554E-4</v>
      </c>
      <c r="DN38" s="267">
        <f>INDEX($BQ$34:$CD$42,MATCH($CW38,$L$34:$L$42,0),MATCH(DN$35,$BQ$35:$CD$35,0))/INDEX(고양시_재차인원!$D$4:$H$35,MATCH("고양시",고양시_재차인원!$B$4:$B$35,0),MATCH($DN$34,고양시_재차인원!$D$4:$H$4,0))</f>
        <v>1.7575107350179722E-2</v>
      </c>
      <c r="DO38" s="267">
        <f>INDEX($BQ$34:$CD$42,MATCH($CW38,$L$34:$L$42,0),MATCH(DO$35,$BQ$35:$CD$35,0))/INDEX(고양시_재차인원!$K$4:$O$20,MATCH("경기도",고양시_재차인원!$K$4:$K$20,0),MATCH(DO$35,고양시_재차인원!$K$4:$O$4,0))</f>
        <v>1.6355050441687024E-7</v>
      </c>
      <c r="DP38" s="267">
        <f>INDEX($BQ$34:$CD$42,MATCH($CW38,$L$34:$L$42,0),MATCH(DP$35,$BQ$35:$CD$35,0))/INDEX(고양시_재차인원!$K$4:$O$20,MATCH("경기도",고양시_재차인원!$K$4:$K$20,0),MATCH(DP$35,고양시_재차인원!$K$4:$O$4,0))</f>
        <v>4.5467040227889918E-5</v>
      </c>
      <c r="DQ38" s="267">
        <f>INDEX($BQ$34:$CD$42,MATCH($CW38,$L$34:$L$42,0),MATCH(DQ$35,$BQ$35:$CD$35,0))/INDEX(고양시_재차인원!$D$4:$H$35,MATCH("고양시",고양시_재차인원!$B$4:$B$35,0),MATCH($DN$34,고양시_재차인원!$D$4:$H$4,0))</f>
        <v>1.1285737656292316E-3</v>
      </c>
      <c r="DR38" s="270">
        <f t="shared" si="14"/>
        <v>55.819833766455915</v>
      </c>
      <c r="DS38" s="270">
        <f t="shared" si="8"/>
        <v>5.6347478049670037E-4</v>
      </c>
      <c r="DT38" s="270">
        <f t="shared" si="8"/>
        <v>0.15664598897808268</v>
      </c>
      <c r="DU38" s="270">
        <f t="shared" si="8"/>
        <v>3.5844332973569397</v>
      </c>
      <c r="DW38" s="278"/>
      <c r="DX38" s="278" t="s">
        <v>715</v>
      </c>
      <c r="DY38" s="281">
        <f t="shared" si="15"/>
        <v>59.404267063812853</v>
      </c>
      <c r="DZ38" s="281">
        <f t="shared" si="16"/>
        <v>0.15720946375857939</v>
      </c>
      <c r="EB38" s="278"/>
      <c r="EC38" s="278" t="s">
        <v>670</v>
      </c>
      <c r="ED38" s="281">
        <f t="shared" si="17"/>
        <v>59.404267063812853</v>
      </c>
      <c r="EE38" s="281">
        <f t="shared" si="9"/>
        <v>0.15720946375857939</v>
      </c>
    </row>
    <row r="39" spans="1:157" ht="37.5">
      <c r="A39" s="205" t="s">
        <v>703</v>
      </c>
      <c r="B39" s="205" t="s">
        <v>720</v>
      </c>
      <c r="C39" s="400">
        <f>$D14*KTDB_TripDistribution_2025!L$12 * (1+KTDB_발생량도착량_증가율!$C$8)</f>
        <v>0</v>
      </c>
      <c r="D39" s="400">
        <f>$D14*KTDB_TripDistribution_2025!M$12 * (1+KTDB_발생량도착량_증가율!$C$8)</f>
        <v>0</v>
      </c>
      <c r="E39" s="400">
        <f>$D14*KTDB_TripDistribution_2025!N$12 * (1+KTDB_발생량도착량_증가율!$C$8)</f>
        <v>0</v>
      </c>
      <c r="F39" s="400">
        <f>$D14*KTDB_TripDistribution_2025!O$12 * (1+KTDB_발생량도착량_증가율!$C$8)</f>
        <v>0</v>
      </c>
      <c r="G39" s="400">
        <f>$D14*KTDB_TripDistribution_2025!P$12 * (1+KTDB_발생량도착량_증가율!$C$8)</f>
        <v>0</v>
      </c>
      <c r="H39" s="400">
        <f>$D14*KTDB_TripDistribution_2025!Q$12 * (1+KTDB_발생량도착량_증가율!$C$8)</f>
        <v>0</v>
      </c>
      <c r="J39" s="230">
        <f t="shared" si="6"/>
        <v>0</v>
      </c>
      <c r="K39" s="206"/>
      <c r="L39" s="206" t="s">
        <v>719</v>
      </c>
      <c r="M39" s="206">
        <f>INDEX($A$35:$H$42,MATCH($L39,$B$35:$B$42,0),MATCH($M$34,$A$35:$H$35,0))*고양시_Modal_split!C$3 * 0.01</f>
        <v>0</v>
      </c>
      <c r="N39" s="206">
        <f>INDEX($A$35:$H$42,MATCH($L39,$B$35:$B$42,0),MATCH($M$34,$A$35:$H$35,0))*고양시_Modal_split!D$3 * 0.01</f>
        <v>0</v>
      </c>
      <c r="O39" s="206">
        <f>INDEX($A$35:$H$42,MATCH($L39,$B$35:$B$42,0),MATCH($M$34,$A$35:$H$35,0))*고양시_Modal_split!E$3 * 0.01</f>
        <v>0</v>
      </c>
      <c r="P39" s="206">
        <f>INDEX($A$35:$H$42,MATCH($L39,$B$35:$B$42,0),MATCH($M$34,$A$35:$H$35,0))*고양시_Modal_split!F$3 * 0.01</f>
        <v>0</v>
      </c>
      <c r="Q39" s="206">
        <f>INDEX($A$35:$H$42,MATCH($L39,$B$35:$B$42,0),MATCH($M$34,$A$35:$H$35,0))*고양시_Modal_split!G$3 * 0.01</f>
        <v>0</v>
      </c>
      <c r="R39" s="206">
        <f>INDEX($A$35:$H$42,MATCH($L39,$B$35:$B$42,0),MATCH($M$34,$A$35:$H$35,0))*고양시_Modal_split!H$3 * 0.01</f>
        <v>0</v>
      </c>
      <c r="S39" s="206">
        <f>INDEX($A$35:$H$42,MATCH($L39,$B$35:$B$42,0),MATCH($M$34,$A$35:$H$35,0))*고양시_Modal_split!I$3 * 0.01</f>
        <v>0</v>
      </c>
      <c r="T39" s="206">
        <f>INDEX($A$35:$H$42,MATCH($L39,$B$35:$B$42,0),MATCH($M$34,$A$35:$H$35,0))*고양시_Modal_split!J$3 * 0.01</f>
        <v>0</v>
      </c>
      <c r="U39" s="206">
        <f>INDEX($A$35:$H$42,MATCH($L39,$B$35:$B$42,0),MATCH($M$34,$A$35:$H$35,0))*고양시_Modal_split!K$3 * 0.01</f>
        <v>0</v>
      </c>
      <c r="V39" s="206">
        <f>INDEX($A$35:$H$42,MATCH($L39,$B$35:$B$42,0),MATCH($M$34,$A$35:$H$35,0))*고양시_Modal_split!L$3 * 0.01</f>
        <v>0</v>
      </c>
      <c r="W39" s="206">
        <f>INDEX($A$35:$H$42,MATCH($L39,$B$35:$B$42,0),MATCH($M$34,$A$35:$H$35,0))*고양시_Modal_split!M$3 * 0.01</f>
        <v>0</v>
      </c>
      <c r="X39" s="206">
        <f>INDEX($A$35:$H$42,MATCH($L39,$B$35:$B$42,0),MATCH($M$34,$A$35:$H$35,0))*고양시_Modal_split!N$3 * 0.01</f>
        <v>0</v>
      </c>
      <c r="Y39" s="206">
        <f>INDEX($A$35:$H$42,MATCH($L39,$B$35:$B$42,0),MATCH($M$34,$A$35:$H$35,0))*고양시_Modal_split!O$3 * 0.01</f>
        <v>0</v>
      </c>
      <c r="Z39" s="209">
        <f>INDEX($A$35:$H$42,MATCH($L39,$B$35:$B$42,0),MATCH($M$34,$A$35:$H$35,0))*고양시_Modal_split!P$3 * 0.01</f>
        <v>0</v>
      </c>
      <c r="AA39" s="207">
        <f>INDEX($A$35:$H$42,MATCH($L39,$B$35:$B$42,0),MATCH($AA$34,$A$35:$H$35,0))*고양시_Modal_split!C$3 * 0.01</f>
        <v>0</v>
      </c>
      <c r="AB39" s="207">
        <f>INDEX($A$35:$H$42,MATCH($L39,$B$35:$B$42,0),MATCH($AA$34,$A$35:$H$35,0))*고양시_Modal_split!D$3 * 0.01</f>
        <v>0</v>
      </c>
      <c r="AC39" s="207">
        <f>INDEX($A$35:$H$42,MATCH($L39,$B$35:$B$42,0),MATCH($AA$34,$A$35:$H$35,0))*고양시_Modal_split!E$3 * 0.01</f>
        <v>0</v>
      </c>
      <c r="AD39" s="207">
        <f>INDEX($A$35:$H$42,MATCH($L39,$B$35:$B$42,0),MATCH($AA$34,$A$35:$H$35,0))*고양시_Modal_split!F$3 * 0.01</f>
        <v>0</v>
      </c>
      <c r="AE39" s="207">
        <f>INDEX($A$35:$H$42,MATCH($L39,$B$35:$B$42,0),MATCH($AA$34,$A$35:$H$35,0))*고양시_Modal_split!G$3 * 0.01</f>
        <v>0</v>
      </c>
      <c r="AF39" s="207">
        <f>INDEX($A$35:$H$42,MATCH($L39,$B$35:$B$42,0),MATCH($AA$34,$A$35:$H$35,0))*고양시_Modal_split!H$3 * 0.01</f>
        <v>0</v>
      </c>
      <c r="AG39" s="207">
        <f>INDEX($A$35:$H$42,MATCH($L39,$B$35:$B$42,0),MATCH($AA$34,$A$35:$H$35,0))*고양시_Modal_split!I$3 * 0.01</f>
        <v>0</v>
      </c>
      <c r="AH39" s="207">
        <f>INDEX($A$35:$H$42,MATCH($L39,$B$35:$B$42,0),MATCH($AA$34,$A$35:$H$35,0))*고양시_Modal_split!J$3 * 0.01</f>
        <v>0</v>
      </c>
      <c r="AI39" s="207">
        <f>INDEX($A$35:$H$42,MATCH($L39,$B$35:$B$42,0),MATCH($AA$34,$A$35:$H$35,0))*고양시_Modal_split!K$3 * 0.01</f>
        <v>0</v>
      </c>
      <c r="AJ39" s="207">
        <f>INDEX($A$35:$H$42,MATCH($L39,$B$35:$B$42,0),MATCH($AA$34,$A$35:$H$35,0))*고양시_Modal_split!L$3 * 0.01</f>
        <v>0</v>
      </c>
      <c r="AK39" s="207">
        <f>INDEX($A$35:$H$42,MATCH($L39,$B$35:$B$42,0),MATCH($AA$34,$A$35:$H$35,0))*고양시_Modal_split!M$3 * 0.01</f>
        <v>0</v>
      </c>
      <c r="AL39" s="207">
        <f>INDEX($A$35:$H$42,MATCH($L39,$B$35:$B$42,0),MATCH($AA$34,$A$35:$H$35,0))*고양시_Modal_split!N$3 * 0.01</f>
        <v>0</v>
      </c>
      <c r="AM39" s="207">
        <f>INDEX($A$35:$H$42,MATCH($L39,$B$35:$B$42,0),MATCH($AA$34,$A$35:$H$35,0))*고양시_Modal_split!O$3 * 0.01</f>
        <v>0</v>
      </c>
      <c r="AN39" s="207">
        <f>INDEX($A$35:$H$42,MATCH($L39,$B$35:$B$42,0),MATCH($AA$34,$A$35:$H$35,0))*고양시_Modal_split!P$3 * 0.01</f>
        <v>0</v>
      </c>
      <c r="AO39" s="303">
        <f>INDEX($A$35:$H$42,MATCH($L39,$B$35:$B$42,0),MATCH($AO$34,$A$35:$H$35,0))*고양시_Modal_split!C$3 * 0.01</f>
        <v>0</v>
      </c>
      <c r="AP39" s="303">
        <f>INDEX($A$35:$H$42,MATCH($L39,$B$35:$B$42,0),MATCH($AO$34,$A$35:$H$35,0))*고양시_Modal_split!D$3 * 0.01</f>
        <v>0</v>
      </c>
      <c r="AQ39" s="303">
        <f>INDEX($A$35:$H$42,MATCH($L39,$B$35:$B$42,0),MATCH($AO$34,$A$35:$H$35,0))*고양시_Modal_split!E$3 * 0.01</f>
        <v>0</v>
      </c>
      <c r="AR39" s="303">
        <f>INDEX($A$35:$H$42,MATCH($L39,$B$35:$B$42,0),MATCH($AO$34,$A$35:$H$35,0))*고양시_Modal_split!F$3 * 0.01</f>
        <v>0</v>
      </c>
      <c r="AS39" s="303">
        <f>INDEX($A$35:$H$42,MATCH($L39,$B$35:$B$42,0),MATCH($AO$34,$A$35:$H$35,0))*고양시_Modal_split!G$3 * 0.01</f>
        <v>0</v>
      </c>
      <c r="AT39" s="303">
        <f>INDEX($A$35:$H$42,MATCH($L39,$B$35:$B$42,0),MATCH($AO$34,$A$35:$H$35,0))*고양시_Modal_split!H$3 * 0.01</f>
        <v>0</v>
      </c>
      <c r="AU39" s="303">
        <f>INDEX($A$35:$H$42,MATCH($L39,$B$35:$B$42,0),MATCH($AO$34,$A$35:$H$35,0))*고양시_Modal_split!I$3 * 0.01</f>
        <v>0</v>
      </c>
      <c r="AV39" s="303">
        <f>INDEX($A$35:$H$42,MATCH($L39,$B$35:$B$42,0),MATCH($AO$34,$A$35:$H$35,0))*고양시_Modal_split!J$3 * 0.01</f>
        <v>0</v>
      </c>
      <c r="AW39" s="303">
        <f>INDEX($A$35:$H$42,MATCH($L39,$B$35:$B$42,0),MATCH($AO$34,$A$35:$H$35,0))*고양시_Modal_split!K$3 * 0.01</f>
        <v>0</v>
      </c>
      <c r="AX39" s="303">
        <f>INDEX($A$35:$H$42,MATCH($L39,$B$35:$B$42,0),MATCH($AO$34,$A$35:$H$35,0))*고양시_Modal_split!L$3 * 0.01</f>
        <v>0</v>
      </c>
      <c r="AY39" s="303">
        <f>INDEX($A$35:$H$42,MATCH($L39,$B$35:$B$42,0),MATCH($AO$34,$A$35:$H$35,0))*고양시_Modal_split!M$3 * 0.01</f>
        <v>0</v>
      </c>
      <c r="AZ39" s="303">
        <f>INDEX($A$35:$H$42,MATCH($L39,$B$35:$B$42,0),MATCH($AO$34,$A$35:$H$35,0))*고양시_Modal_split!N$3 * 0.01</f>
        <v>0</v>
      </c>
      <c r="BA39" s="207">
        <f>INDEX($A$35:$H$42,MATCH($L39,$B$35:$B$42,0),MATCH($AO$34,$A$35:$H$35,0))*고양시_Modal_split!O$3 * 0.01</f>
        <v>0</v>
      </c>
      <c r="BB39" s="207">
        <f>INDEX($A$35:$H$42,MATCH($L39,$B$35:$B$42,0),MATCH($AO$34,$A$35:$H$35,0))*고양시_Modal_split!P$3 * 0.01</f>
        <v>0</v>
      </c>
      <c r="BC39" s="207">
        <f>INDEX($A$35:$H$42,MATCH($L39,$B$35:$B$42,0),MATCH($BC$34,$A$35:$H$35,0))*고양시_Modal_split!C$3 * 0.01</f>
        <v>0</v>
      </c>
      <c r="BD39" s="207">
        <f>INDEX($A$35:$H$42,MATCH($L39,$B$35:$B$42,0),MATCH($BC$34,$A$35:$H$35,0))*고양시_Modal_split!D$3 * 0.01</f>
        <v>0</v>
      </c>
      <c r="BE39" s="207">
        <f>INDEX($A$35:$H$42,MATCH($L39,$B$35:$B$42,0),MATCH($BC$34,$A$35:$H$35,0))*고양시_Modal_split!E$3 * 0.01</f>
        <v>0</v>
      </c>
      <c r="BF39" s="207">
        <f>INDEX($A$35:$H$42,MATCH($L39,$B$35:$B$42,0),MATCH($BC$34,$A$35:$H$35,0))*고양시_Modal_split!F$3 * 0.01</f>
        <v>0</v>
      </c>
      <c r="BG39" s="207">
        <f>INDEX($A$35:$H$42,MATCH($L39,$B$35:$B$42,0),MATCH($BC$34,$A$35:$H$35,0))*고양시_Modal_split!G$3 * 0.01</f>
        <v>0</v>
      </c>
      <c r="BH39" s="207">
        <f>INDEX($A$35:$H$42,MATCH($L39,$B$35:$B$42,0),MATCH($BC$34,$A$35:$H$35,0))*고양시_Modal_split!H$3 * 0.01</f>
        <v>0</v>
      </c>
      <c r="BI39" s="207">
        <f>INDEX($A$35:$H$42,MATCH($L39,$B$35:$B$42,0),MATCH($BC$34,$A$35:$H$35,0))*고양시_Modal_split!I$3 * 0.01</f>
        <v>0</v>
      </c>
      <c r="BJ39" s="207">
        <f>INDEX($A$35:$H$42,MATCH($L39,$B$35:$B$42,0),MATCH($BC$34,$A$35:$H$35,0))*고양시_Modal_split!J$3 * 0.01</f>
        <v>0</v>
      </c>
      <c r="BK39" s="207">
        <f>INDEX($A$35:$H$42,MATCH($L39,$B$35:$B$42,0),MATCH($BC$34,$A$35:$H$35,0))*고양시_Modal_split!K$3 * 0.01</f>
        <v>0</v>
      </c>
      <c r="BL39" s="207">
        <f>INDEX($A$35:$H$42,MATCH($L39,$B$35:$B$42,0),MATCH($BC$34,$A$35:$H$35,0))*고양시_Modal_split!L$3 * 0.01</f>
        <v>0</v>
      </c>
      <c r="BM39" s="207">
        <f>INDEX($A$35:$H$42,MATCH($L39,$B$35:$B$42,0),MATCH($BC$34,$A$35:$H$35,0))*고양시_Modal_split!M$3 * 0.01</f>
        <v>0</v>
      </c>
      <c r="BN39" s="207">
        <f>INDEX($A$35:$H$42,MATCH($L39,$B$35:$B$42,0),MATCH($BC$34,$A$35:$H$35,0))*고양시_Modal_split!N$3 * 0.01</f>
        <v>0</v>
      </c>
      <c r="BO39" s="207">
        <f>INDEX($A$35:$H$42,MATCH($L39,$B$35:$B$42,0),MATCH($BC$34,$A$35:$H$35,0))*고양시_Modal_split!O$3 * 0.01</f>
        <v>0</v>
      </c>
      <c r="BP39" s="207">
        <f>INDEX($A$35:$H$42,MATCH($L39,$B$35:$B$42,0),MATCH($BC$34,$A$35:$H$35,0))*고양시_Modal_split!P$3 * 0.01</f>
        <v>0</v>
      </c>
      <c r="BQ39" s="207">
        <f>INDEX($A$35:$H$42,MATCH($L39,$B$35:$B$42,0),MATCH($BQ$34,$A$35:$H$35,0))*고양시_Modal_split!C$3 * 0.01</f>
        <v>0</v>
      </c>
      <c r="BR39" s="207">
        <f>INDEX($A$35:$H$42,MATCH($L39,$B$35:$B$42,0),MATCH($BQ$34,$A$35:$H$35,0))*고양시_Modal_split!D$3 * 0.01</f>
        <v>0</v>
      </c>
      <c r="BS39" s="207">
        <f>INDEX($A$35:$H$42,MATCH($L39,$B$35:$B$42,0),MATCH($BQ$34,$A$35:$H$35,0))*고양시_Modal_split!E$3 * 0.01</f>
        <v>0</v>
      </c>
      <c r="BT39" s="207">
        <f>INDEX($A$35:$H$42,MATCH($L39,$B$35:$B$42,0),MATCH($BQ$34,$A$35:$H$35,0))*고양시_Modal_split!F$3 * 0.01</f>
        <v>0</v>
      </c>
      <c r="BU39" s="207">
        <f>INDEX($A$35:$H$42,MATCH($L39,$B$35:$B$42,0),MATCH($BQ$34,$A$35:$H$35,0))*고양시_Modal_split!G$3 * 0.01</f>
        <v>0</v>
      </c>
      <c r="BV39" s="207">
        <f>INDEX($A$35:$H$42,MATCH($L39,$B$35:$B$42,0),MATCH($BQ$34,$A$35:$H$35,0))*고양시_Modal_split!H$3 * 0.01</f>
        <v>0</v>
      </c>
      <c r="BW39" s="207">
        <f>INDEX($A$35:$H$42,MATCH($L39,$B$35:$B$42,0),MATCH($BQ$34,$A$35:$H$35,0))*고양시_Modal_split!I$3 * 0.01</f>
        <v>0</v>
      </c>
      <c r="BX39" s="207">
        <f>INDEX($A$35:$H$42,MATCH($L39,$B$35:$B$42,0),MATCH($BQ$34,$A$35:$H$35,0))*고양시_Modal_split!J$3 * 0.01</f>
        <v>0</v>
      </c>
      <c r="BY39" s="207">
        <f>INDEX($A$35:$H$42,MATCH($L39,$B$35:$B$42,0),MATCH($BQ$34,$A$35:$H$35,0))*고양시_Modal_split!K$3 * 0.01</f>
        <v>0</v>
      </c>
      <c r="BZ39" s="207">
        <f>INDEX($A$35:$H$42,MATCH($L39,$B$35:$B$42,0),MATCH($BQ$34,$A$35:$H$35,0))*고양시_Modal_split!L$3 * 0.01</f>
        <v>0</v>
      </c>
      <c r="CA39" s="207">
        <f>INDEX($A$35:$H$42,MATCH($L39,$B$35:$B$42,0),MATCH($BQ$34,$A$35:$H$35,0))*고양시_Modal_split!M$3 * 0.01</f>
        <v>0</v>
      </c>
      <c r="CB39" s="207">
        <f>INDEX($A$35:$H$42,MATCH($L39,$B$35:$B$42,0),MATCH($BQ$34,$A$35:$H$35,0))*고양시_Modal_split!N$3 * 0.01</f>
        <v>0</v>
      </c>
      <c r="CC39" s="207">
        <f>INDEX($A$35:$H$42,MATCH($L39,$B$35:$B$42,0),MATCH($BQ$34,$A$35:$H$35,0))*고양시_Modal_split!O$3 * 0.01</f>
        <v>0</v>
      </c>
      <c r="CD39" s="207">
        <f>INDEX($A$35:$H$42,MATCH($L39,$B$35:$B$42,0),MATCH($BQ$34,$A$35:$H$35,0))*고양시_Modal_split!P$3 * 0.01</f>
        <v>0</v>
      </c>
      <c r="CE39" s="304">
        <f t="shared" si="12"/>
        <v>0</v>
      </c>
      <c r="CF39" s="304">
        <f t="shared" si="7"/>
        <v>0</v>
      </c>
      <c r="CG39" s="304">
        <f t="shared" si="7"/>
        <v>0</v>
      </c>
      <c r="CH39" s="304">
        <f t="shared" si="7"/>
        <v>0</v>
      </c>
      <c r="CI39" s="304">
        <f t="shared" si="7"/>
        <v>0</v>
      </c>
      <c r="CJ39" s="304">
        <f t="shared" si="7"/>
        <v>0</v>
      </c>
      <c r="CK39" s="304">
        <f t="shared" si="7"/>
        <v>0</v>
      </c>
      <c r="CL39" s="304">
        <f t="shared" si="7"/>
        <v>0</v>
      </c>
      <c r="CM39" s="304">
        <f t="shared" si="7"/>
        <v>0</v>
      </c>
      <c r="CN39" s="304">
        <f t="shared" si="7"/>
        <v>0</v>
      </c>
      <c r="CO39" s="304">
        <f t="shared" si="7"/>
        <v>0</v>
      </c>
      <c r="CP39" s="304">
        <f t="shared" si="7"/>
        <v>0</v>
      </c>
      <c r="CQ39" s="304">
        <f t="shared" si="7"/>
        <v>0</v>
      </c>
      <c r="CR39" s="304">
        <f t="shared" si="7"/>
        <v>0</v>
      </c>
      <c r="CS39" s="305">
        <f t="shared" si="13"/>
        <v>0</v>
      </c>
      <c r="CV39" s="265"/>
      <c r="CW39" s="265" t="s">
        <v>719</v>
      </c>
      <c r="CX39" s="267">
        <f>INDEX($M$34:$Z$42,MATCH($CW39,$L$34:$L$42,0),MATCH(CX$35,$M$35:$Z$35,0))/INDEX(고양시_재차인원!$D$4:$H$35,MATCH("고양시",고양시_재차인원!$B$4:$B$35,0),MATCH($CX$34,고양시_재차인원!$D$4:$H$4,0))</f>
        <v>0</v>
      </c>
      <c r="CY39" s="267">
        <f>INDEX($M$34:$Z$42,MATCH($CW39,$L$34:$L$42,0),MATCH(CY$35,$M$35:$Z$35,0))/INDEX(고양시_재차인원!$K$4:$O$20,MATCH("경기도",고양시_재차인원!$K$4:$K$20,0),MATCH(CY$35,고양시_재차인원!$K$4:$O$4,0))</f>
        <v>0</v>
      </c>
      <c r="CZ39" s="267">
        <f>INDEX($M$34:$Z$42,MATCH($CW39,$L$34:$L$42,0),MATCH(CZ$35,$M$35:$Z$35,0))/INDEX(고양시_재차인원!$K$4:$O$20,MATCH("경기도",고양시_재차인원!$K$4:$K$20,0),MATCH(CZ$35,고양시_재차인원!$K$4:$O$4,0))</f>
        <v>0</v>
      </c>
      <c r="DA39" s="267">
        <f>INDEX($M$34:$Z$42,MATCH($CW39,$L$34:$L$42,0),MATCH(DA$35,$M$35:$Z$35,0))/INDEX(고양시_재차인원!$D$4:$H$35,MATCH("고양시",고양시_재차인원!$B$4:$B$35,0),MATCH($CX$34,고양시_재차인원!$D$4:$H$4,0))</f>
        <v>0</v>
      </c>
      <c r="DB39" s="267">
        <f>INDEX($AA$34:$AN$42,MATCH($CW39,$L$34:$L$42,0),MATCH(DB$35,$AA$35:$AN$35,0))/INDEX(고양시_재차인원!$D$4:$H$35,MATCH("고양시",고양시_재차인원!$B$4:$B$35,0),MATCH($DB$34,고양시_재차인원!$D$4:$H$4,0))</f>
        <v>0</v>
      </c>
      <c r="DC39" s="267">
        <f>INDEX($AA$34:$AN$42,MATCH($CW39,$L$34:$L$42,0),MATCH(DC$35,$AA$35:$AN$35,0))/INDEX(고양시_재차인원!$K$4:$O$20,MATCH("경기도",고양시_재차인원!$K$4:$K$20,0),MATCH(DC$35,고양시_재차인원!$K$4:$O$4,0))</f>
        <v>0</v>
      </c>
      <c r="DD39" s="267">
        <f>INDEX($AA$34:$AN$42,MATCH($CW39,$L$34:$L$42,0),MATCH(DD$35,$AA$35:$AN$35,0))/INDEX(고양시_재차인원!$K$4:$O$20,MATCH("경기도",고양시_재차인원!$K$4:$K$20,0),MATCH(DD$35,고양시_재차인원!$K$4:$O$4,0))</f>
        <v>0</v>
      </c>
      <c r="DE39" s="267">
        <f>INDEX($AA$34:$AN$42,MATCH($CW39,$L$34:$L$42,0),MATCH(DE$35,$AA$35:$AN$35,0))/INDEX(고양시_재차인원!$D$4:$H$35,MATCH("고양시",고양시_재차인원!$B$4:$B$35,0),MATCH($DB$34,고양시_재차인원!$D$4:$H$4,0))</f>
        <v>0</v>
      </c>
      <c r="DF39" s="267">
        <f>INDEX($AO$34:$BB$42,MATCH($CW39,$L$34:$L$42,0),MATCH(DF$35,$AO$35:$BB$35,0))/INDEX(고양시_재차인원!$D$4:$H$35,MATCH("고양시",고양시_재차인원!$B$4:$B$35,0),MATCH($DF$34,고양시_재차인원!$D$4:$H$4,0))</f>
        <v>0</v>
      </c>
      <c r="DG39" s="267">
        <f>INDEX($AO$34:$BB$42,MATCH($CW39,$L$34:$L$42,0),MATCH(DG$35,$AO$35:$BB$35,0))/INDEX(고양시_재차인원!$K$4:$O$20,MATCH("경기도",고양시_재차인원!$K$4:$K$20,0),MATCH(DG$35,고양시_재차인원!$K$4:$O$4,0))</f>
        <v>0</v>
      </c>
      <c r="DH39" s="267">
        <f>INDEX($AO$34:$BB$42,MATCH($CW39,$L$34:$L$42,0),MATCH(DH$35,$AO$35:$BB$35,0))/INDEX(고양시_재차인원!$K$4:$O$20,MATCH("경기도",고양시_재차인원!$K$4:$K$20,0),MATCH(DH$35,고양시_재차인원!$K$4:$O$4,0))</f>
        <v>0</v>
      </c>
      <c r="DI39" s="267">
        <f>INDEX($AO$34:$BB$42,MATCH($CW39,$L$34:$L$42,0),MATCH(DI$35,$AO$35:$BB$35,0))/INDEX(고양시_재차인원!$D$4:$H$35,MATCH("고양시",고양시_재차인원!$B$4:$B$35,0),MATCH($DF$34,고양시_재차인원!$D$4:$H$4,0))</f>
        <v>0</v>
      </c>
      <c r="DJ39" s="267">
        <f>INDEX($BC$34:$BP$42,MATCH($CW39,$L$34:$L$42,0),MATCH(DJ$35,$BC$35:$BP$35,0))/INDEX(고양시_재차인원!$D$4:$H$35,MATCH("고양시",고양시_재차인원!$B$4:$B$35,0),MATCH($DJ$34,고양시_재차인원!$D$4:$H$4,0))</f>
        <v>0</v>
      </c>
      <c r="DK39" s="267">
        <f>INDEX($BC$34:$BP$42,MATCH($CW39,$L$34:$L$42,0),MATCH(DK$35,$BC$35:$BP$35,0))/INDEX(고양시_재차인원!$K$4:$O$20,MATCH("경기도",고양시_재차인원!$K$4:$K$20,0),MATCH(DK$35,고양시_재차인원!$K$4:$O$4,0))</f>
        <v>0</v>
      </c>
      <c r="DL39" s="267">
        <f>INDEX($BC$34:$BP$42,MATCH($CW39,$L$34:$L$42,0),MATCH(DL$35,$BC$35:$BP$35,0))/INDEX(고양시_재차인원!$K$4:$O$20,MATCH("경기도",고양시_재차인원!$K$4:$K$20,0),MATCH(DL$35,고양시_재차인원!$K$4:$O$4,0))</f>
        <v>0</v>
      </c>
      <c r="DM39" s="267">
        <f>INDEX($BC$34:$BP$42,MATCH($CW39,$L$34:$L$42,0),MATCH(DM$35,$BC$35:$BP$35,0))/INDEX(고양시_재차인원!$D$4:$H$35,MATCH("고양시",고양시_재차인원!$B$4:$B$35,0),MATCH($DJ$34,고양시_재차인원!$D$4:$H$4,0))</f>
        <v>0</v>
      </c>
      <c r="DN39" s="267">
        <f>INDEX($BQ$34:$CD$42,MATCH($CW39,$L$34:$L$42,0),MATCH(DN$35,$BQ$35:$CD$35,0))/INDEX(고양시_재차인원!$D$4:$H$35,MATCH("고양시",고양시_재차인원!$B$4:$B$35,0),MATCH($DN$34,고양시_재차인원!$D$4:$H$4,0))</f>
        <v>0</v>
      </c>
      <c r="DO39" s="267">
        <f>INDEX($BQ$34:$CD$42,MATCH($CW39,$L$34:$L$42,0),MATCH(DO$35,$BQ$35:$CD$35,0))/INDEX(고양시_재차인원!$K$4:$O$20,MATCH("경기도",고양시_재차인원!$K$4:$K$20,0),MATCH(DO$35,고양시_재차인원!$K$4:$O$4,0))</f>
        <v>0</v>
      </c>
      <c r="DP39" s="267">
        <f>INDEX($BQ$34:$CD$42,MATCH($CW39,$L$34:$L$42,0),MATCH(DP$35,$BQ$35:$CD$35,0))/INDEX(고양시_재차인원!$K$4:$O$20,MATCH("경기도",고양시_재차인원!$K$4:$K$20,0),MATCH(DP$35,고양시_재차인원!$K$4:$O$4,0))</f>
        <v>0</v>
      </c>
      <c r="DQ39" s="267">
        <f>INDEX($BQ$34:$CD$42,MATCH($CW39,$L$34:$L$42,0),MATCH(DQ$35,$BQ$35:$CD$35,0))/INDEX(고양시_재차인원!$D$4:$H$35,MATCH("고양시",고양시_재차인원!$B$4:$B$35,0),MATCH($DN$34,고양시_재차인원!$D$4:$H$4,0))</f>
        <v>0</v>
      </c>
      <c r="DR39" s="270">
        <f t="shared" si="14"/>
        <v>0</v>
      </c>
      <c r="DS39" s="270">
        <f t="shared" si="8"/>
        <v>0</v>
      </c>
      <c r="DT39" s="270">
        <f t="shared" si="8"/>
        <v>0</v>
      </c>
      <c r="DU39" s="270">
        <f t="shared" si="8"/>
        <v>0</v>
      </c>
      <c r="DW39" s="278"/>
      <c r="DX39" s="278" t="s">
        <v>719</v>
      </c>
      <c r="DY39" s="281">
        <f t="shared" si="15"/>
        <v>0</v>
      </c>
      <c r="DZ39" s="281">
        <f t="shared" si="16"/>
        <v>0</v>
      </c>
      <c r="EB39" s="278"/>
      <c r="EC39" s="278" t="s">
        <v>672</v>
      </c>
      <c r="ED39" s="281">
        <f t="shared" si="17"/>
        <v>0</v>
      </c>
      <c r="EE39" s="281">
        <f t="shared" si="9"/>
        <v>0</v>
      </c>
    </row>
    <row r="40" spans="1:157" ht="25">
      <c r="A40" s="205" t="s">
        <v>703</v>
      </c>
      <c r="B40" s="205" t="s">
        <v>718</v>
      </c>
      <c r="C40" s="400">
        <f>$D15*KTDB_TripDistribution_2025!L$12 * (1+KTDB_발생량도착량_증가율!$C$8)</f>
        <v>48.807844106044577</v>
      </c>
      <c r="D40" s="400">
        <f>$D15*KTDB_TripDistribution_2025!M$12 * (1+KTDB_발생량도착량_증가율!$C$8)</f>
        <v>379.53630449497155</v>
      </c>
      <c r="E40" s="400">
        <f>$D15*KTDB_TripDistribution_2025!N$12 * (1+KTDB_발생량도착량_증가율!$C$8)</f>
        <v>16.823080711111356</v>
      </c>
      <c r="F40" s="400">
        <f>$D15*KTDB_TripDistribution_2025!O$12 * (1+KTDB_발생량도착량_증가율!$C$8)</f>
        <v>4.5621913792844519E-2</v>
      </c>
      <c r="G40" s="400">
        <f>$D15*KTDB_TripDistribution_2025!P$12 * (1+KTDB_발생량도착량_증가율!$C$8)</f>
        <v>0.12926208907972547</v>
      </c>
      <c r="H40" s="400">
        <f>$D15*KTDB_TripDistribution_2025!Q$12 * (1+KTDB_발생량도착량_증가율!$C$8)</f>
        <v>445.34211331500006</v>
      </c>
      <c r="J40" s="230">
        <f t="shared" si="6"/>
        <v>445.34211331500001</v>
      </c>
      <c r="K40" s="206"/>
      <c r="L40" s="206" t="s">
        <v>717</v>
      </c>
      <c r="M40" s="206">
        <f>INDEX($A$35:$H$42,MATCH($L40,$B$35:$B$42,0),MATCH($M$34,$A$35:$H$35,0))*고양시_Modal_split!C$3 * 0.01</f>
        <v>0.1366619634969248</v>
      </c>
      <c r="N40" s="206">
        <f>INDEX($A$35:$H$42,MATCH($L40,$B$35:$B$42,0),MATCH($M$34,$A$35:$H$35,0))*고양시_Modal_split!D$3 * 0.01</f>
        <v>22.954329083072768</v>
      </c>
      <c r="O40" s="206">
        <f>INDEX($A$35:$H$42,MATCH($L40,$B$35:$B$42,0),MATCH($M$34,$A$35:$H$35,0))*고양시_Modal_split!E$3 * 0.01</f>
        <v>2.7771663296339364</v>
      </c>
      <c r="P40" s="206">
        <f>INDEX($A$35:$H$42,MATCH($L40,$B$35:$B$42,0),MATCH($M$34,$A$35:$H$35,0))*고양시_Modal_split!F$3 * 0.01</f>
        <v>4.475679304524288</v>
      </c>
      <c r="Q40" s="206">
        <f>INDEX($A$35:$H$42,MATCH($L40,$B$35:$B$42,0),MATCH($M$34,$A$35:$H$35,0))*고양시_Modal_split!G$3 * 0.01</f>
        <v>0.44903216577561006</v>
      </c>
      <c r="R40" s="206">
        <f>INDEX($A$35:$H$42,MATCH($L40,$B$35:$B$42,0),MATCH($M$34,$A$35:$H$35,0))*고양시_Modal_split!H$3 * 0.01</f>
        <v>4.8807844106044584E-3</v>
      </c>
      <c r="S40" s="206">
        <f>INDEX($A$35:$H$42,MATCH($L40,$B$35:$B$42,0),MATCH($M$34,$A$35:$H$35,0))*고양시_Modal_split!I$3 * 0.01</f>
        <v>1.3568580661480392</v>
      </c>
      <c r="T40" s="206">
        <f>INDEX($A$35:$H$42,MATCH($L40,$B$35:$B$42,0),MATCH($M$34,$A$35:$H$35,0))*고양시_Modal_split!J$3 * 0.01</f>
        <v>14.857107745879972</v>
      </c>
      <c r="U40" s="206">
        <f>INDEX($A$35:$H$42,MATCH($L40,$B$35:$B$42,0),MATCH($M$34,$A$35:$H$35,0))*고양시_Modal_split!K$3 * 0.01</f>
        <v>7.3211766159066868E-2</v>
      </c>
      <c r="V40" s="206">
        <f>INDEX($A$35:$H$42,MATCH($L40,$B$35:$B$42,0),MATCH($M$34,$A$35:$H$35,0))*고양시_Modal_split!L$3 * 0.01</f>
        <v>1.4739968920025461</v>
      </c>
      <c r="W40" s="206">
        <f>INDEX($A$35:$H$42,MATCH($L40,$B$35:$B$42,0),MATCH($M$34,$A$35:$H$35,0))*고양시_Modal_split!M$3 * 0.01</f>
        <v>0.11225804144390251</v>
      </c>
      <c r="X40" s="206">
        <f>INDEX($A$35:$H$42,MATCH($L40,$B$35:$B$42,0),MATCH($M$34,$A$35:$H$35,0))*고양시_Modal_split!N$3 * 0.01</f>
        <v>4.8807844106044586E-2</v>
      </c>
      <c r="Y40" s="206">
        <f>INDEX($A$35:$H$42,MATCH($L40,$B$35:$B$42,0),MATCH($M$34,$A$35:$H$35,0))*고양시_Modal_split!O$3 * 0.01</f>
        <v>8.7854119390880239E-2</v>
      </c>
      <c r="Z40" s="209">
        <f>INDEX($A$35:$H$42,MATCH($L40,$B$35:$B$42,0),MATCH($M$34,$A$35:$H$35,0))*고양시_Modal_split!P$3 * 0.01</f>
        <v>48.807844106044577</v>
      </c>
      <c r="AA40" s="207">
        <f>INDEX($A$35:$H$42,MATCH($L40,$B$35:$B$42,0),MATCH($AA$34,$A$35:$H$35,0))*고양시_Modal_split!C$3 * 0.01</f>
        <v>1.0627016525859201</v>
      </c>
      <c r="AB40" s="207">
        <f>INDEX($A$35:$H$42,MATCH($L40,$B$35:$B$42,0),MATCH($AA$34,$A$35:$H$35,0))*고양시_Modal_split!D$3 * 0.01</f>
        <v>178.49592400398512</v>
      </c>
      <c r="AC40" s="207">
        <f>INDEX($A$35:$H$42,MATCH($L40,$B$35:$B$42,0),MATCH($AA$34,$A$35:$H$35,0))*고양시_Modal_split!E$3 * 0.01</f>
        <v>21.595615725763878</v>
      </c>
      <c r="AD40" s="207">
        <f>INDEX($A$35:$H$42,MATCH($L40,$B$35:$B$42,0),MATCH($AA$34,$A$35:$H$35,0))*고양시_Modal_split!F$3 * 0.01</f>
        <v>34.80347912218889</v>
      </c>
      <c r="AE40" s="207">
        <f>INDEX($A$35:$H$42,MATCH($L40,$B$35:$B$42,0),MATCH($AA$34,$A$35:$H$35,0))*고양시_Modal_split!G$3 * 0.01</f>
        <v>3.4917340013537381</v>
      </c>
      <c r="AF40" s="207">
        <f>INDEX($A$35:$H$42,MATCH($L40,$B$35:$B$42,0),MATCH($AA$34,$A$35:$H$35,0))*고양시_Modal_split!H$3 * 0.01</f>
        <v>3.7953630449497157E-2</v>
      </c>
      <c r="AG40" s="207">
        <f>INDEX($A$35:$H$42,MATCH($L40,$B$35:$B$42,0),MATCH($AA$34,$A$35:$H$35,0))*고양시_Modal_split!I$3 * 0.01</f>
        <v>10.551109264960207</v>
      </c>
      <c r="AH40" s="207">
        <f>INDEX($A$35:$H$42,MATCH($L40,$B$35:$B$42,0),MATCH($AA$34,$A$35:$H$35,0))*고양시_Modal_split!J$3 * 0.01</f>
        <v>115.53085108826934</v>
      </c>
      <c r="AI40" s="207">
        <f>INDEX($A$35:$H$42,MATCH($L40,$B$35:$B$42,0),MATCH($AA$34,$A$35:$H$35,0))*고양시_Modal_split!K$3 * 0.01</f>
        <v>0.56930445674245733</v>
      </c>
      <c r="AJ40" s="207">
        <f>INDEX($A$35:$H$42,MATCH($L40,$B$35:$B$42,0),MATCH($AA$34,$A$35:$H$35,0))*고양시_Modal_split!L$3 * 0.01</f>
        <v>11.461996395748141</v>
      </c>
      <c r="AK40" s="207">
        <f>INDEX($A$35:$H$42,MATCH($L40,$B$35:$B$42,0),MATCH($AA$34,$A$35:$H$35,0))*고양시_Modal_split!M$3 * 0.01</f>
        <v>0.87293350033843453</v>
      </c>
      <c r="AL40" s="207">
        <f>INDEX($A$35:$H$42,MATCH($L40,$B$35:$B$42,0),MATCH($AA$34,$A$35:$H$35,0))*고양시_Modal_split!N$3 * 0.01</f>
        <v>0.37953630449497155</v>
      </c>
      <c r="AM40" s="207">
        <f>INDEX($A$35:$H$42,MATCH($L40,$B$35:$B$42,0),MATCH($AA$34,$A$35:$H$35,0))*고양시_Modal_split!O$3 * 0.01</f>
        <v>0.68316534809094875</v>
      </c>
      <c r="AN40" s="207">
        <f>INDEX($A$35:$H$42,MATCH($L40,$B$35:$B$42,0),MATCH($AA$34,$A$35:$H$35,0))*고양시_Modal_split!P$3 * 0.01</f>
        <v>379.53630449497155</v>
      </c>
      <c r="AO40" s="303">
        <f>INDEX($A$35:$H$42,MATCH($L40,$B$35:$B$42,0),MATCH($AO$34,$A$35:$H$35,0))*고양시_Modal_split!C$3 * 0.01</f>
        <v>4.7104625991111794E-2</v>
      </c>
      <c r="AP40" s="303">
        <f>INDEX($A$35:$H$42,MATCH($L40,$B$35:$B$42,0),MATCH($AO$34,$A$35:$H$35,0))*고양시_Modal_split!D$3 * 0.01</f>
        <v>7.9118948584356712</v>
      </c>
      <c r="AQ40" s="303">
        <f>INDEX($A$35:$H$42,MATCH($L40,$B$35:$B$42,0),MATCH($AO$34,$A$35:$H$35,0))*고양시_Modal_split!E$3 * 0.01</f>
        <v>0.95723329246223599</v>
      </c>
      <c r="AR40" s="303">
        <f>INDEX($A$35:$H$42,MATCH($L40,$B$35:$B$42,0),MATCH($AO$34,$A$35:$H$35,0))*고양시_Modal_split!F$3 * 0.01</f>
        <v>1.5426765012089112</v>
      </c>
      <c r="AS40" s="303">
        <f>INDEX($A$35:$H$42,MATCH($L40,$B$35:$B$42,0),MATCH($AO$34,$A$35:$H$35,0))*고양시_Modal_split!G$3 * 0.01</f>
        <v>0.15477234254222447</v>
      </c>
      <c r="AT40" s="303">
        <f>INDEX($A$35:$H$42,MATCH($L40,$B$35:$B$42,0),MATCH($AO$34,$A$35:$H$35,0))*고양시_Modal_split!H$3 * 0.01</f>
        <v>1.6823080711111358E-3</v>
      </c>
      <c r="AU40" s="303">
        <f>INDEX($A$35:$H$42,MATCH($L40,$B$35:$B$42,0),MATCH($AO$34,$A$35:$H$35,0))*고양시_Modal_split!I$3 * 0.01</f>
        <v>0.46768164376889565</v>
      </c>
      <c r="AV40" s="303">
        <f>INDEX($A$35:$H$42,MATCH($L40,$B$35:$B$42,0),MATCH($AO$34,$A$35:$H$35,0))*고양시_Modal_split!J$3 * 0.01</f>
        <v>5.1209457684622963</v>
      </c>
      <c r="AW40" s="303">
        <f>INDEX($A$35:$H$42,MATCH($L40,$B$35:$B$42,0),MATCH($AO$34,$A$35:$H$35,0))*고양시_Modal_split!K$3 * 0.01</f>
        <v>2.5234621066667035E-2</v>
      </c>
      <c r="AX40" s="303">
        <f>INDEX($A$35:$H$42,MATCH($L40,$B$35:$B$42,0),MATCH($AO$34,$A$35:$H$35,0))*고양시_Modal_split!L$3 * 0.01</f>
        <v>0.50805703747556297</v>
      </c>
      <c r="AY40" s="303">
        <f>INDEX($A$35:$H$42,MATCH($L40,$B$35:$B$42,0),MATCH($AO$34,$A$35:$H$35,0))*고양시_Modal_split!M$3 * 0.01</f>
        <v>3.8693085635556117E-2</v>
      </c>
      <c r="AZ40" s="303">
        <f>INDEX($A$35:$H$42,MATCH($L40,$B$35:$B$42,0),MATCH($AO$34,$A$35:$H$35,0))*고양시_Modal_split!N$3 * 0.01</f>
        <v>1.6823080711111355E-2</v>
      </c>
      <c r="BA40" s="207">
        <f>INDEX($A$35:$H$42,MATCH($L40,$B$35:$B$42,0),MATCH($AO$34,$A$35:$H$35,0))*고양시_Modal_split!O$3 * 0.01</f>
        <v>3.0281545280000439E-2</v>
      </c>
      <c r="BB40" s="207">
        <f>INDEX($A$35:$H$42,MATCH($L40,$B$35:$B$42,0),MATCH($AO$34,$A$35:$H$35,0))*고양시_Modal_split!P$3 * 0.01</f>
        <v>16.823080711111356</v>
      </c>
      <c r="BC40" s="207">
        <f>INDEX($A$35:$H$42,MATCH($L40,$B$35:$B$42,0),MATCH($BC$34,$A$35:$H$35,0))*고양시_Modal_split!C$3 * 0.01</f>
        <v>1.2774135861996465E-4</v>
      </c>
      <c r="BD40" s="207">
        <f>INDEX($A$35:$H$42,MATCH($L40,$B$35:$B$42,0),MATCH($BC$34,$A$35:$H$35,0))*고양시_Modal_split!D$3 * 0.01</f>
        <v>2.1455986056774776E-2</v>
      </c>
      <c r="BE40" s="207">
        <f>INDEX($A$35:$H$42,MATCH($L40,$B$35:$B$42,0),MATCH($BC$34,$A$35:$H$35,0))*고양시_Modal_split!E$3 * 0.01</f>
        <v>2.5958868948128527E-3</v>
      </c>
      <c r="BF40" s="207">
        <f>INDEX($A$35:$H$42,MATCH($L40,$B$35:$B$42,0),MATCH($BC$34,$A$35:$H$35,0))*고양시_Modal_split!F$3 * 0.01</f>
        <v>4.1835294948038429E-3</v>
      </c>
      <c r="BG40" s="207">
        <f>INDEX($A$35:$H$42,MATCH($L40,$B$35:$B$42,0),MATCH($BC$34,$A$35:$H$35,0))*고양시_Modal_split!G$3 * 0.01</f>
        <v>4.1972160689416954E-4</v>
      </c>
      <c r="BH40" s="207">
        <f>INDEX($A$35:$H$42,MATCH($L40,$B$35:$B$42,0),MATCH($BC$34,$A$35:$H$35,0))*고양시_Modal_split!H$3 * 0.01</f>
        <v>4.5621913792844518E-6</v>
      </c>
      <c r="BI40" s="207">
        <f>INDEX($A$35:$H$42,MATCH($L40,$B$35:$B$42,0),MATCH($BC$34,$A$35:$H$35,0))*고양시_Modal_split!I$3 * 0.01</f>
        <v>1.2682892034410775E-3</v>
      </c>
      <c r="BJ40" s="207">
        <f>INDEX($A$35:$H$42,MATCH($L40,$B$35:$B$42,0),MATCH($BC$34,$A$35:$H$35,0))*고양시_Modal_split!J$3 * 0.01</f>
        <v>1.3887310558541872E-2</v>
      </c>
      <c r="BK40" s="207">
        <f>INDEX($A$35:$H$42,MATCH($L40,$B$35:$B$42,0),MATCH($BC$34,$A$35:$H$35,0))*고양시_Modal_split!K$3 * 0.01</f>
        <v>6.8432870689266777E-5</v>
      </c>
      <c r="BL40" s="207">
        <f>INDEX($A$35:$H$42,MATCH($L40,$B$35:$B$42,0),MATCH($BC$34,$A$35:$H$35,0))*고양시_Modal_split!L$3 * 0.01</f>
        <v>1.3777817965439046E-3</v>
      </c>
      <c r="BM40" s="207">
        <f>INDEX($A$35:$H$42,MATCH($L40,$B$35:$B$42,0),MATCH($BC$34,$A$35:$H$35,0))*고양시_Modal_split!M$3 * 0.01</f>
        <v>1.0493040172354238E-4</v>
      </c>
      <c r="BN40" s="207">
        <f>INDEX($A$35:$H$42,MATCH($L40,$B$35:$B$42,0),MATCH($BC$34,$A$35:$H$35,0))*고양시_Modal_split!N$3 * 0.01</f>
        <v>4.5621913792844523E-5</v>
      </c>
      <c r="BO40" s="207">
        <f>INDEX($A$35:$H$42,MATCH($L40,$B$35:$B$42,0),MATCH($BC$34,$A$35:$H$35,0))*고양시_Modal_split!O$3 * 0.01</f>
        <v>8.211944482712013E-5</v>
      </c>
      <c r="BP40" s="207">
        <f>INDEX($A$35:$H$42,MATCH($L40,$B$35:$B$42,0),MATCH($BC$34,$A$35:$H$35,0))*고양시_Modal_split!P$3 * 0.01</f>
        <v>4.5621913792844519E-2</v>
      </c>
      <c r="BQ40" s="207">
        <f>INDEX($A$35:$H$42,MATCH($L40,$B$35:$B$42,0),MATCH($BQ$34,$A$35:$H$35,0))*고양시_Modal_split!C$3 * 0.01</f>
        <v>3.6193384942323134E-4</v>
      </c>
      <c r="BR40" s="207">
        <f>INDEX($A$35:$H$42,MATCH($L40,$B$35:$B$42,0),MATCH($BQ$34,$A$35:$H$35,0))*고양시_Modal_split!D$3 * 0.01</f>
        <v>6.0791960494194892E-2</v>
      </c>
      <c r="BS40" s="207">
        <f>INDEX($A$35:$H$42,MATCH($L40,$B$35:$B$42,0),MATCH($BQ$34,$A$35:$H$35,0))*고양시_Modal_split!E$3 * 0.01</f>
        <v>7.3550128686363792E-3</v>
      </c>
      <c r="BT40" s="207">
        <f>INDEX($A$35:$H$42,MATCH($L40,$B$35:$B$42,0),MATCH($BQ$34,$A$35:$H$35,0))*고양시_Modal_split!F$3 * 0.01</f>
        <v>1.1853333568610827E-2</v>
      </c>
      <c r="BU40" s="207">
        <f>INDEX($A$35:$H$42,MATCH($L40,$B$35:$B$42,0),MATCH($BQ$34,$A$35:$H$35,0))*고양시_Modal_split!G$3 * 0.01</f>
        <v>1.1892112195334742E-3</v>
      </c>
      <c r="BV40" s="207">
        <f>INDEX($A$35:$H$42,MATCH($L40,$B$35:$B$42,0),MATCH($BQ$34,$A$35:$H$35,0))*고양시_Modal_split!H$3 * 0.01</f>
        <v>1.2926208907972548E-5</v>
      </c>
      <c r="BW40" s="207">
        <f>INDEX($A$35:$H$42,MATCH($L40,$B$35:$B$42,0),MATCH($BQ$34,$A$35:$H$35,0))*고양시_Modal_split!I$3 * 0.01</f>
        <v>3.5934860764163679E-3</v>
      </c>
      <c r="BX40" s="207">
        <f>INDEX($A$35:$H$42,MATCH($L40,$B$35:$B$42,0),MATCH($BQ$34,$A$35:$H$35,0))*고양시_Modal_split!J$3 * 0.01</f>
        <v>3.9347379915868438E-2</v>
      </c>
      <c r="BY40" s="207">
        <f>INDEX($A$35:$H$42,MATCH($L40,$B$35:$B$42,0),MATCH($BQ$34,$A$35:$H$35,0))*고양시_Modal_split!K$3 * 0.01</f>
        <v>1.9389313361958818E-4</v>
      </c>
      <c r="BZ40" s="207">
        <f>INDEX($A$35:$H$42,MATCH($L40,$B$35:$B$42,0),MATCH($BQ$34,$A$35:$H$35,0))*고양시_Modal_split!L$3 * 0.01</f>
        <v>3.9037150902077097E-3</v>
      </c>
      <c r="CA40" s="207">
        <f>INDEX($A$35:$H$42,MATCH($L40,$B$35:$B$42,0),MATCH($BQ$34,$A$35:$H$35,0))*고양시_Modal_split!M$3 * 0.01</f>
        <v>2.9730280488336855E-4</v>
      </c>
      <c r="CB40" s="207">
        <f>INDEX($A$35:$H$42,MATCH($L40,$B$35:$B$42,0),MATCH($BQ$34,$A$35:$H$35,0))*고양시_Modal_split!N$3 * 0.01</f>
        <v>1.2926208907972547E-4</v>
      </c>
      <c r="CC40" s="207">
        <f>INDEX($A$35:$H$42,MATCH($L40,$B$35:$B$42,0),MATCH($BQ$34,$A$35:$H$35,0))*고양시_Modal_split!O$3 * 0.01</f>
        <v>2.3267176034350587E-4</v>
      </c>
      <c r="CD40" s="207">
        <f>INDEX($A$35:$H$42,MATCH($L40,$B$35:$B$42,0),MATCH($BQ$34,$A$35:$H$35,0))*고양시_Modal_split!P$3 * 0.01</f>
        <v>0.12926208907972547</v>
      </c>
      <c r="CE40" s="304">
        <f t="shared" si="12"/>
        <v>1.246957917282</v>
      </c>
      <c r="CF40" s="304">
        <f t="shared" si="7"/>
        <v>209.4443958920445</v>
      </c>
      <c r="CG40" s="304">
        <f t="shared" si="7"/>
        <v>25.339966247623497</v>
      </c>
      <c r="CH40" s="304">
        <f t="shared" si="7"/>
        <v>40.837871790985503</v>
      </c>
      <c r="CI40" s="304">
        <f t="shared" si="7"/>
        <v>4.0971474424980006</v>
      </c>
      <c r="CJ40" s="304">
        <f t="shared" si="7"/>
        <v>4.4534211331500012E-2</v>
      </c>
      <c r="CK40" s="304">
        <f t="shared" si="7"/>
        <v>12.380510750156999</v>
      </c>
      <c r="CL40" s="304">
        <f t="shared" si="7"/>
        <v>135.56213929308603</v>
      </c>
      <c r="CM40" s="304">
        <f t="shared" si="7"/>
        <v>0.66801316997250015</v>
      </c>
      <c r="CN40" s="304">
        <f t="shared" si="7"/>
        <v>13.449331822113002</v>
      </c>
      <c r="CO40" s="304">
        <f t="shared" si="7"/>
        <v>1.0242868606245001</v>
      </c>
      <c r="CP40" s="304">
        <f t="shared" si="7"/>
        <v>0.44534211331500007</v>
      </c>
      <c r="CQ40" s="304">
        <f t="shared" si="7"/>
        <v>0.80161580396700016</v>
      </c>
      <c r="CR40" s="304">
        <f t="shared" si="7"/>
        <v>445.34211331500001</v>
      </c>
      <c r="CS40" s="305">
        <f t="shared" si="13"/>
        <v>0</v>
      </c>
      <c r="CV40" s="265"/>
      <c r="CW40" s="265" t="s">
        <v>717</v>
      </c>
      <c r="CX40" s="267">
        <f>INDEX($M$34:$Z$42,MATCH($CW40,$L$34:$L$42,0),MATCH(CX$35,$M$35:$Z$35,0))/INDEX(고양시_재차인원!$D$4:$H$35,MATCH("고양시",고양시_재차인원!$B$4:$B$35,0),MATCH($CX$34,고양시_재차인원!$D$4:$H$4,0))</f>
        <v>20.494936681314968</v>
      </c>
      <c r="CY40" s="267">
        <f>INDEX($M$34:$Z$42,MATCH($CW40,$L$34:$L$42,0),MATCH(CY$35,$M$35:$Z$35,0))/INDEX(고양시_재차인원!$K$4:$O$20,MATCH("경기도",고양시_재차인원!$K$4:$K$20,0),MATCH(CY$35,고양시_재차인원!$K$4:$O$4,0))</f>
        <v>1.6953054569657724E-4</v>
      </c>
      <c r="CZ40" s="267">
        <f>INDEX($M$34:$Z$42,MATCH($CW40,$L$34:$L$42,0),MATCH(CZ$35,$M$35:$Z$35,0))/INDEX(고양시_재차인원!$K$4:$O$20,MATCH("경기도",고양시_재차인원!$K$4:$K$20,0),MATCH(CZ$35,고양시_재차인원!$K$4:$O$4,0))</f>
        <v>4.7129491703648461E-2</v>
      </c>
      <c r="DA40" s="267">
        <f>INDEX($M$34:$Z$42,MATCH($CW40,$L$34:$L$42,0),MATCH(DA$35,$M$35:$Z$35,0))/INDEX(고양시_재차인원!$D$4:$H$35,MATCH("고양시",고양시_재차인원!$B$4:$B$35,0),MATCH($CX$34,고양시_재차인원!$D$4:$H$4,0))</f>
        <v>1.3160686535737018</v>
      </c>
      <c r="DB40" s="267">
        <f>INDEX($AA$34:$AN$42,MATCH($CW40,$L$34:$L$42,0),MATCH(DB$35,$AA$35:$AN$35,0))/INDEX(고양시_재차인원!$D$4:$H$35,MATCH("고양시",고양시_재차인원!$B$4:$B$35,0),MATCH($DB$34,고양시_재차인원!$D$4:$H$4,0))</f>
        <v>126.59285390353556</v>
      </c>
      <c r="DC40" s="267">
        <f>INDEX($AA$34:$AN$42,MATCH($CW40,$L$34:$L$42,0),MATCH(DC$35,$AA$35:$AN$35,0))/INDEX(고양시_재차인원!$K$4:$O$20,MATCH("경기도",고양시_재차인원!$K$4:$K$20,0),MATCH(DC$35,고양시_재차인원!$K$4:$O$4,0))</f>
        <v>1.3182921309307801E-3</v>
      </c>
      <c r="DD40" s="267">
        <f>INDEX($AA$34:$AN$42,MATCH($CW40,$L$34:$L$42,0),MATCH(DD$35,$AA$35:$AN$35,0))/INDEX(고양시_재차인원!$K$4:$O$20,MATCH("경기도",고양시_재차인원!$K$4:$K$20,0),MATCH(DD$35,고양시_재차인원!$K$4:$O$4,0))</f>
        <v>0.36648521239875675</v>
      </c>
      <c r="DE40" s="267">
        <f>INDEX($AA$34:$AN$42,MATCH($CW40,$L$34:$L$42,0),MATCH(DE$35,$AA$35:$AN$35,0))/INDEX(고양시_재차인원!$D$4:$H$35,MATCH("고양시",고양시_재차인원!$B$4:$B$35,0),MATCH($DB$34,고양시_재차인원!$D$4:$H$4,0))</f>
        <v>8.1290754579774056</v>
      </c>
      <c r="DF40" s="267">
        <f>INDEX($AO$34:$BB$42,MATCH($CW40,$L$34:$L$42,0),MATCH(DF$35,$AO$35:$BB$35,0))/INDEX(고양시_재차인원!$D$4:$H$35,MATCH("고양시",고양시_재차인원!$B$4:$B$35,0),MATCH($DF$34,고양시_재차인원!$D$4:$H$4,0))</f>
        <v>6.0860729680274392</v>
      </c>
      <c r="DG40" s="267">
        <f>INDEX($AO$34:$BB$42,MATCH($CW40,$L$34:$L$42,0),MATCH(DG$35,$AO$35:$BB$35,0))/INDEX(고양시_재차인원!$K$4:$O$20,MATCH("경기도",고양시_재차인원!$K$4:$K$20,0),MATCH(DG$35,고양시_재차인원!$K$4:$O$4,0))</f>
        <v>5.8433764192814722E-5</v>
      </c>
      <c r="DH40" s="267">
        <f>INDEX($AO$34:$BB$42,MATCH($CW40,$L$34:$L$42,0),MATCH(DH$35,$AO$35:$BB$35,0))/INDEX(고양시_재차인원!$K$4:$O$20,MATCH("경기도",고양시_재차인원!$K$4:$K$20,0),MATCH(DH$35,고양시_재차인원!$K$4:$O$4,0))</f>
        <v>1.6244586445602491E-2</v>
      </c>
      <c r="DI40" s="267">
        <f>INDEX($AO$34:$BB$42,MATCH($CW40,$L$34:$L$42,0),MATCH(DI$35,$AO$35:$BB$35,0))/INDEX(고양시_재차인원!$D$4:$H$35,MATCH("고양시",고양시_재차인원!$B$4:$B$35,0),MATCH($DF$34,고양시_재차인원!$D$4:$H$4,0))</f>
        <v>0.39081310575043304</v>
      </c>
      <c r="DJ40" s="267">
        <f>INDEX($BC$34:$BP$42,MATCH($CW40,$L$34:$L$42,0),MATCH(DJ$35,$BC$35:$BP$35,0))/INDEX(고양시_재차인원!$D$4:$H$35,MATCH("고양시",고양시_재차인원!$B$4:$B$35,0),MATCH($DJ$34,고양시_재차인원!$D$4:$H$4,0))</f>
        <v>1.5776460335863805E-2</v>
      </c>
      <c r="DK40" s="267">
        <f>INDEX($BC$34:$BP$42,MATCH($CW40,$L$34:$L$42,0),MATCH(DK$35,$BC$35:$BP$35,0))/INDEX(고양시_재차인원!$K$4:$O$20,MATCH("경기도",고양시_재차인원!$K$4:$K$20,0),MATCH(DK$35,고양시_재차인원!$K$4:$O$4,0))</f>
        <v>1.5846444526865064E-7</v>
      </c>
      <c r="DL40" s="267">
        <f>INDEX($BC$34:$BP$42,MATCH($CW40,$L$34:$L$42,0),MATCH(DL$35,$BC$35:$BP$35,0))/INDEX(고양시_재차인원!$K$4:$O$20,MATCH("경기도",고양시_재차인원!$K$4:$K$20,0),MATCH(DL$35,고양시_재차인원!$K$4:$O$4,0))</f>
        <v>4.4053115784684872E-5</v>
      </c>
      <c r="DM40" s="267">
        <f>INDEX($BC$34:$BP$42,MATCH($CW40,$L$34:$L$42,0),MATCH(DM$35,$BC$35:$BP$35,0))/INDEX(고양시_재차인원!$D$4:$H$35,MATCH("고양시",고양시_재차인원!$B$4:$B$35,0),MATCH($DJ$34,고양시_재차인원!$D$4:$H$4,0))</f>
        <v>1.0130748503999298E-3</v>
      </c>
      <c r="DN40" s="267">
        <f>INDEX($BQ$34:$CD$42,MATCH($CW40,$L$34:$L$42,0),MATCH(DN$35,$BQ$35:$CD$35,0))/INDEX(고양시_재차인원!$D$4:$H$35,MATCH("고양시",고양시_재차인원!$B$4:$B$35,0),MATCH($DN$34,고양시_재차인원!$D$4:$H$4,0))</f>
        <v>4.8247587693805473E-2</v>
      </c>
      <c r="DO40" s="267">
        <f>INDEX($BQ$34:$CD$42,MATCH($CW40,$L$34:$L$42,0),MATCH(DO$35,$BQ$35:$CD$35,0))/INDEX(고양시_재차인원!$K$4:$O$20,MATCH("경기도",고양시_재차인원!$K$4:$K$20,0),MATCH(DO$35,고양시_재차인원!$K$4:$O$4,0))</f>
        <v>4.4898259492784124E-7</v>
      </c>
      <c r="DP40" s="267">
        <f>INDEX($BQ$34:$CD$42,MATCH($CW40,$L$34:$L$42,0),MATCH(DP$35,$BQ$35:$CD$35,0))/INDEX(고양시_재차인원!$K$4:$O$20,MATCH("경기도",고양시_재차인원!$K$4:$K$20,0),MATCH(DP$35,고양시_재차인원!$K$4:$O$4,0))</f>
        <v>1.2481716138993985E-4</v>
      </c>
      <c r="DQ40" s="267">
        <f>INDEX($BQ$34:$CD$42,MATCH($CW40,$L$34:$L$42,0),MATCH(DQ$35,$BQ$35:$CD$35,0))/INDEX(고양시_재차인원!$D$4:$H$35,MATCH("고양시",고양시_재차인원!$B$4:$B$35,0),MATCH($DN$34,고양시_재차인원!$D$4:$H$4,0))</f>
        <v>3.0981865795299281E-3</v>
      </c>
      <c r="DR40" s="270">
        <f t="shared" si="14"/>
        <v>153.23788760090764</v>
      </c>
      <c r="DS40" s="270">
        <f t="shared" si="8"/>
        <v>1.5468638878603687E-3</v>
      </c>
      <c r="DT40" s="270">
        <f t="shared" si="8"/>
        <v>0.43002816082518236</v>
      </c>
      <c r="DU40" s="270">
        <f t="shared" si="8"/>
        <v>9.8400684787314709</v>
      </c>
      <c r="DW40" s="278"/>
      <c r="DX40" s="278" t="s">
        <v>717</v>
      </c>
      <c r="DY40" s="281">
        <f t="shared" si="15"/>
        <v>163.07795607963911</v>
      </c>
      <c r="DZ40" s="281">
        <f t="shared" si="16"/>
        <v>0.43157502471304271</v>
      </c>
      <c r="EB40" s="278"/>
      <c r="EC40" s="278" t="s">
        <v>674</v>
      </c>
      <c r="ED40" s="281">
        <f t="shared" si="17"/>
        <v>163.07795607963911</v>
      </c>
      <c r="EE40" s="281">
        <f t="shared" si="9"/>
        <v>0.43157502471304271</v>
      </c>
    </row>
    <row r="41" spans="1:157" ht="37.5">
      <c r="A41" s="205" t="s">
        <v>703</v>
      </c>
      <c r="B41" s="205" t="s">
        <v>722</v>
      </c>
      <c r="C41" s="400">
        <f>$D16*KTDB_TripDistribution_2025!L$12 * (1+KTDB_발생량도착량_증가율!$C$8)</f>
        <v>5.6621628893323175</v>
      </c>
      <c r="D41" s="400">
        <f>$D16*KTDB_TripDistribution_2025!M$12 * (1+KTDB_발생량도착량_증가율!$C$8)</f>
        <v>44.0297337001127</v>
      </c>
      <c r="E41" s="400">
        <f>$D16*KTDB_TripDistribution_2025!N$12 * (1+KTDB_발생량도착량_증가율!$C$8)</f>
        <v>1.9516334931683708</v>
      </c>
      <c r="F41" s="400">
        <f>$D16*KTDB_TripDistribution_2025!O$12 * (1+KTDB_발생량도착량_증가율!$C$8)</f>
        <v>5.2925654052023803E-3</v>
      </c>
      <c r="G41" s="400">
        <f>$D16*KTDB_TripDistribution_2025!P$12 * (1+KTDB_발생량도착량_증가율!$C$8)</f>
        <v>1.4995601981406669E-2</v>
      </c>
      <c r="H41" s="400">
        <f>$D16*KTDB_TripDistribution_2025!Q$12 * (1+KTDB_발생량도착량_증가율!$C$8)</f>
        <v>51.663818250000006</v>
      </c>
      <c r="K41" s="206"/>
      <c r="L41" s="206" t="s">
        <v>721</v>
      </c>
      <c r="M41" s="206">
        <f>INDEX($A$35:$H$42,MATCH($L41,$B$35:$B$42,0),MATCH($M$34,$A$35:$H$35,0))*고양시_Modal_split!C$3 * 0.01</f>
        <v>1.5854056090130488E-2</v>
      </c>
      <c r="N41" s="206">
        <f>INDEX($A$35:$H$42,MATCH($L41,$B$35:$B$42,0),MATCH($M$34,$A$35:$H$35,0))*고양시_Modal_split!D$3 * 0.01</f>
        <v>2.6629152068529893</v>
      </c>
      <c r="O41" s="206">
        <f>INDEX($A$35:$H$42,MATCH($L41,$B$35:$B$42,0),MATCH($M$34,$A$35:$H$35,0))*고양시_Modal_split!E$3 * 0.01</f>
        <v>0.32217706840300886</v>
      </c>
      <c r="P41" s="206">
        <f>INDEX($A$35:$H$42,MATCH($L41,$B$35:$B$42,0),MATCH($M$34,$A$35:$H$35,0))*고양시_Modal_split!F$3 * 0.01</f>
        <v>0.5192203369517735</v>
      </c>
      <c r="Q41" s="206">
        <f>INDEX($A$35:$H$42,MATCH($L41,$B$35:$B$42,0),MATCH($M$34,$A$35:$H$35,0))*고양시_Modal_split!G$3 * 0.01</f>
        <v>5.2091898581857317E-2</v>
      </c>
      <c r="R41" s="206">
        <f>INDEX($A$35:$H$42,MATCH($L41,$B$35:$B$42,0),MATCH($M$34,$A$35:$H$35,0))*고양시_Modal_split!H$3 * 0.01</f>
        <v>5.6621628893323175E-4</v>
      </c>
      <c r="S41" s="206">
        <f>INDEX($A$35:$H$42,MATCH($L41,$B$35:$B$42,0),MATCH($M$34,$A$35:$H$35,0))*고양시_Modal_split!I$3 * 0.01</f>
        <v>0.15740812832343842</v>
      </c>
      <c r="T41" s="206">
        <f>INDEX($A$35:$H$42,MATCH($L41,$B$35:$B$42,0),MATCH($M$34,$A$35:$H$35,0))*고양시_Modal_split!J$3 * 0.01</f>
        <v>1.7235623835127576</v>
      </c>
      <c r="U41" s="206">
        <f>INDEX($A$35:$H$42,MATCH($L41,$B$35:$B$42,0),MATCH($M$34,$A$35:$H$35,0))*고양시_Modal_split!K$3 * 0.01</f>
        <v>8.4932443339984769E-3</v>
      </c>
      <c r="V41" s="206">
        <f>INDEX($A$35:$H$42,MATCH($L41,$B$35:$B$42,0),MATCH($M$34,$A$35:$H$35,0))*고양시_Modal_split!L$3 * 0.01</f>
        <v>0.17099731925783598</v>
      </c>
      <c r="W41" s="206">
        <f>INDEX($A$35:$H$42,MATCH($L41,$B$35:$B$42,0),MATCH($M$34,$A$35:$H$35,0))*고양시_Modal_split!M$3 * 0.01</f>
        <v>1.3022974645464329E-2</v>
      </c>
      <c r="X41" s="206">
        <f>INDEX($A$35:$H$42,MATCH($L41,$B$35:$B$42,0),MATCH($M$34,$A$35:$H$35,0))*고양시_Modal_split!N$3 * 0.01</f>
        <v>5.6621628893323171E-3</v>
      </c>
      <c r="Y41" s="206">
        <f>INDEX($A$35:$H$42,MATCH($L41,$B$35:$B$42,0),MATCH($M$34,$A$35:$H$35,0))*고양시_Modal_split!O$3 * 0.01</f>
        <v>1.0191893200798172E-2</v>
      </c>
      <c r="Z41" s="209">
        <f>INDEX($A$35:$H$42,MATCH($L41,$B$35:$B$42,0),MATCH($M$34,$A$35:$H$35,0))*고양시_Modal_split!P$3 * 0.01</f>
        <v>5.6621628893323184</v>
      </c>
      <c r="AA41" s="207">
        <f>INDEX($A$35:$H$42,MATCH($L41,$B$35:$B$42,0),MATCH($AA$34,$A$35:$H$35,0))*고양시_Modal_split!C$3 * 0.01</f>
        <v>0.12328325436031555</v>
      </c>
      <c r="AB41" s="207">
        <f>INDEX($A$35:$H$42,MATCH($L41,$B$35:$B$42,0),MATCH($AA$34,$A$35:$H$35,0))*고양시_Modal_split!D$3 * 0.01</f>
        <v>20.707183759163005</v>
      </c>
      <c r="AC41" s="207">
        <f>INDEX($A$35:$H$42,MATCH($L41,$B$35:$B$42,0),MATCH($AA$34,$A$35:$H$35,0))*고양시_Modal_split!E$3 * 0.01</f>
        <v>2.5052918475364123</v>
      </c>
      <c r="AD41" s="207">
        <f>INDEX($A$35:$H$42,MATCH($L41,$B$35:$B$42,0),MATCH($AA$34,$A$35:$H$35,0))*고양시_Modal_split!F$3 * 0.01</f>
        <v>4.0375265803003346</v>
      </c>
      <c r="AE41" s="207">
        <f>INDEX($A$35:$H$42,MATCH($L41,$B$35:$B$42,0),MATCH($AA$34,$A$35:$H$35,0))*고양시_Modal_split!G$3 * 0.01</f>
        <v>0.40507355004103679</v>
      </c>
      <c r="AF41" s="207">
        <f>INDEX($A$35:$H$42,MATCH($L41,$B$35:$B$42,0),MATCH($AA$34,$A$35:$H$35,0))*고양시_Modal_split!H$3 * 0.01</f>
        <v>4.40297337001127E-3</v>
      </c>
      <c r="AG41" s="207">
        <f>INDEX($A$35:$H$42,MATCH($L41,$B$35:$B$42,0),MATCH($AA$34,$A$35:$H$35,0))*고양시_Modal_split!I$3 * 0.01</f>
        <v>1.224026596863133</v>
      </c>
      <c r="AH41" s="207">
        <f>INDEX($A$35:$H$42,MATCH($L41,$B$35:$B$42,0),MATCH($AA$34,$A$35:$H$35,0))*고양시_Modal_split!J$3 * 0.01</f>
        <v>13.402650938314308</v>
      </c>
      <c r="AI41" s="207">
        <f>INDEX($A$35:$H$42,MATCH($L41,$B$35:$B$42,0),MATCH($AA$34,$A$35:$H$35,0))*고양시_Modal_split!K$3 * 0.01</f>
        <v>6.6044600550169058E-2</v>
      </c>
      <c r="AJ41" s="207">
        <f>INDEX($A$35:$H$42,MATCH($L41,$B$35:$B$42,0),MATCH($AA$34,$A$35:$H$35,0))*고양시_Modal_split!L$3 * 0.01</f>
        <v>1.3296979577434036</v>
      </c>
      <c r="AK41" s="207">
        <f>INDEX($A$35:$H$42,MATCH($L41,$B$35:$B$42,0),MATCH($AA$34,$A$35:$H$35,0))*고양시_Modal_split!M$3 * 0.01</f>
        <v>0.1012683875102592</v>
      </c>
      <c r="AL41" s="207">
        <f>INDEX($A$35:$H$42,MATCH($L41,$B$35:$B$42,0),MATCH($AA$34,$A$35:$H$35,0))*고양시_Modal_split!N$3 * 0.01</f>
        <v>4.4029733700112698E-2</v>
      </c>
      <c r="AM41" s="207">
        <f>INDEX($A$35:$H$42,MATCH($L41,$B$35:$B$42,0),MATCH($AA$34,$A$35:$H$35,0))*고양시_Modal_split!O$3 * 0.01</f>
        <v>7.9253520660202859E-2</v>
      </c>
      <c r="AN41" s="207">
        <f>INDEX($A$35:$H$42,MATCH($L41,$B$35:$B$42,0),MATCH($AA$34,$A$35:$H$35,0))*고양시_Modal_split!P$3 * 0.01</f>
        <v>44.0297337001127</v>
      </c>
      <c r="AO41" s="303">
        <f>INDEX($A$35:$H$42,MATCH($L41,$B$35:$B$42,0),MATCH($AO$34,$A$35:$H$35,0))*고양시_Modal_split!C$3 * 0.01</f>
        <v>5.4645737808714382E-3</v>
      </c>
      <c r="AP41" s="303">
        <f>INDEX($A$35:$H$42,MATCH($L41,$B$35:$B$42,0),MATCH($AO$34,$A$35:$H$35,0))*고양시_Modal_split!D$3 * 0.01</f>
        <v>0.91785323183708489</v>
      </c>
      <c r="AQ41" s="303">
        <f>INDEX($A$35:$H$42,MATCH($L41,$B$35:$B$42,0),MATCH($AO$34,$A$35:$H$35,0))*고양시_Modal_split!E$3 * 0.01</f>
        <v>0.1110479457612803</v>
      </c>
      <c r="AR41" s="303">
        <f>INDEX($A$35:$H$42,MATCH($L41,$B$35:$B$42,0),MATCH($AO$34,$A$35:$H$35,0))*고양시_Modal_split!F$3 * 0.01</f>
        <v>0.1789647913235396</v>
      </c>
      <c r="AS41" s="303">
        <f>INDEX($A$35:$H$42,MATCH($L41,$B$35:$B$42,0),MATCH($AO$34,$A$35:$H$35,0))*고양시_Modal_split!G$3 * 0.01</f>
        <v>1.7955028137149009E-2</v>
      </c>
      <c r="AT41" s="303">
        <f>INDEX($A$35:$H$42,MATCH($L41,$B$35:$B$42,0),MATCH($AO$34,$A$35:$H$35,0))*고양시_Modal_split!H$3 * 0.01</f>
        <v>1.9516334931683711E-4</v>
      </c>
      <c r="AU41" s="303">
        <f>INDEX($A$35:$H$42,MATCH($L41,$B$35:$B$42,0),MATCH($AO$34,$A$35:$H$35,0))*고양시_Modal_split!I$3 * 0.01</f>
        <v>5.4255411110080705E-2</v>
      </c>
      <c r="AV41" s="303">
        <f>INDEX($A$35:$H$42,MATCH($L41,$B$35:$B$42,0),MATCH($AO$34,$A$35:$H$35,0))*고양시_Modal_split!J$3 * 0.01</f>
        <v>0.59407723532045209</v>
      </c>
      <c r="AW41" s="303">
        <f>INDEX($A$35:$H$42,MATCH($L41,$B$35:$B$42,0),MATCH($AO$34,$A$35:$H$35,0))*고양시_Modal_split!K$3 * 0.01</f>
        <v>2.9274502397525562E-3</v>
      </c>
      <c r="AX41" s="303">
        <f>INDEX($A$35:$H$42,MATCH($L41,$B$35:$B$42,0),MATCH($AO$34,$A$35:$H$35,0))*고양시_Modal_split!L$3 * 0.01</f>
        <v>5.8939331493684799E-2</v>
      </c>
      <c r="AY41" s="303">
        <f>INDEX($A$35:$H$42,MATCH($L41,$B$35:$B$42,0),MATCH($AO$34,$A$35:$H$35,0))*고양시_Modal_split!M$3 * 0.01</f>
        <v>4.4887570342872522E-3</v>
      </c>
      <c r="AZ41" s="303">
        <f>INDEX($A$35:$H$42,MATCH($L41,$B$35:$B$42,0),MATCH($AO$34,$A$35:$H$35,0))*고양시_Modal_split!N$3 * 0.01</f>
        <v>1.9516334931683711E-3</v>
      </c>
      <c r="BA41" s="207">
        <f>INDEX($A$35:$H$42,MATCH($L41,$B$35:$B$42,0),MATCH($AO$34,$A$35:$H$35,0))*고양시_Modal_split!O$3 * 0.01</f>
        <v>3.5129402877030675E-3</v>
      </c>
      <c r="BB41" s="207">
        <f>INDEX($A$35:$H$42,MATCH($L41,$B$35:$B$42,0),MATCH($AO$34,$A$35:$H$35,0))*고양시_Modal_split!P$3 * 0.01</f>
        <v>1.9516334931683708</v>
      </c>
      <c r="BC41" s="207">
        <f>INDEX($A$35:$H$42,MATCH($L41,$B$35:$B$42,0),MATCH($BC$34,$A$35:$H$35,0))*고양시_Modal_split!C$3 * 0.01</f>
        <v>1.4819183134566663E-5</v>
      </c>
      <c r="BD41" s="207">
        <f>INDEX($A$35:$H$42,MATCH($L41,$B$35:$B$42,0),MATCH($BC$34,$A$35:$H$35,0))*고양시_Modal_split!D$3 * 0.01</f>
        <v>2.4890935100666794E-3</v>
      </c>
      <c r="BE41" s="207">
        <f>INDEX($A$35:$H$42,MATCH($L41,$B$35:$B$42,0),MATCH($BC$34,$A$35:$H$35,0))*고양시_Modal_split!E$3 * 0.01</f>
        <v>3.011469715560154E-4</v>
      </c>
      <c r="BF41" s="207">
        <f>INDEX($A$35:$H$42,MATCH($L41,$B$35:$B$42,0),MATCH($BC$34,$A$35:$H$35,0))*고양시_Modal_split!F$3 * 0.01</f>
        <v>4.8532824765705826E-4</v>
      </c>
      <c r="BG41" s="207">
        <f>INDEX($A$35:$H$42,MATCH($L41,$B$35:$B$42,0),MATCH($BC$34,$A$35:$H$35,0))*고양시_Modal_split!G$3 * 0.01</f>
        <v>4.8691601727861899E-5</v>
      </c>
      <c r="BH41" s="207">
        <f>INDEX($A$35:$H$42,MATCH($L41,$B$35:$B$42,0),MATCH($BC$34,$A$35:$H$35,0))*고양시_Modal_split!H$3 * 0.01</f>
        <v>5.2925654052023807E-7</v>
      </c>
      <c r="BI41" s="207">
        <f>INDEX($A$35:$H$42,MATCH($L41,$B$35:$B$42,0),MATCH($BC$34,$A$35:$H$35,0))*고양시_Modal_split!I$3 * 0.01</f>
        <v>1.4713331826462616E-4</v>
      </c>
      <c r="BJ41" s="207">
        <f>INDEX($A$35:$H$42,MATCH($L41,$B$35:$B$42,0),MATCH($BC$34,$A$35:$H$35,0))*고양시_Modal_split!J$3 * 0.01</f>
        <v>1.6110569093436048E-3</v>
      </c>
      <c r="BK41" s="207">
        <f>INDEX($A$35:$H$42,MATCH($L41,$B$35:$B$42,0),MATCH($BC$34,$A$35:$H$35,0))*고양시_Modal_split!K$3 * 0.01</f>
        <v>7.9388481078035711E-6</v>
      </c>
      <c r="BL41" s="207">
        <f>INDEX($A$35:$H$42,MATCH($L41,$B$35:$B$42,0),MATCH($BC$34,$A$35:$H$35,0))*고양시_Modal_split!L$3 * 0.01</f>
        <v>1.5983547523711189E-4</v>
      </c>
      <c r="BM41" s="207">
        <f>INDEX($A$35:$H$42,MATCH($L41,$B$35:$B$42,0),MATCH($BC$34,$A$35:$H$35,0))*고양시_Modal_split!M$3 * 0.01</f>
        <v>1.2172900431965475E-5</v>
      </c>
      <c r="BN41" s="207">
        <f>INDEX($A$35:$H$42,MATCH($L41,$B$35:$B$42,0),MATCH($BC$34,$A$35:$H$35,0))*고양시_Modal_split!N$3 * 0.01</f>
        <v>5.2925654052023804E-6</v>
      </c>
      <c r="BO41" s="207">
        <f>INDEX($A$35:$H$42,MATCH($L41,$B$35:$B$42,0),MATCH($BC$34,$A$35:$H$35,0))*고양시_Modal_split!O$3 * 0.01</f>
        <v>9.526617729364285E-6</v>
      </c>
      <c r="BP41" s="207">
        <f>INDEX($A$35:$H$42,MATCH($L41,$B$35:$B$42,0),MATCH($BC$34,$A$35:$H$35,0))*고양시_Modal_split!P$3 * 0.01</f>
        <v>5.2925654052023811E-3</v>
      </c>
      <c r="BQ41" s="207">
        <f>INDEX($A$35:$H$42,MATCH($L41,$B$35:$B$42,0),MATCH($BQ$34,$A$35:$H$35,0))*고양시_Modal_split!C$3 * 0.01</f>
        <v>4.1987685547938665E-5</v>
      </c>
      <c r="BR41" s="207">
        <f>INDEX($A$35:$H$42,MATCH($L41,$B$35:$B$42,0),MATCH($BQ$34,$A$35:$H$35,0))*고양시_Modal_split!D$3 * 0.01</f>
        <v>7.0524316118555563E-3</v>
      </c>
      <c r="BS41" s="207">
        <f>INDEX($A$35:$H$42,MATCH($L41,$B$35:$B$42,0),MATCH($BQ$34,$A$35:$H$35,0))*고양시_Modal_split!E$3 * 0.01</f>
        <v>8.5324975274203932E-4</v>
      </c>
      <c r="BT41" s="207">
        <f>INDEX($A$35:$H$42,MATCH($L41,$B$35:$B$42,0),MATCH($BQ$34,$A$35:$H$35,0))*고양시_Modal_split!F$3 * 0.01</f>
        <v>1.3750967016949913E-3</v>
      </c>
      <c r="BU41" s="207">
        <f>INDEX($A$35:$H$42,MATCH($L41,$B$35:$B$42,0),MATCH($BQ$34,$A$35:$H$35,0))*고양시_Modal_split!G$3 * 0.01</f>
        <v>1.3795953822894134E-4</v>
      </c>
      <c r="BV41" s="207">
        <f>INDEX($A$35:$H$42,MATCH($L41,$B$35:$B$42,0),MATCH($BQ$34,$A$35:$H$35,0))*고양시_Modal_split!H$3 * 0.01</f>
        <v>1.499560198140667E-6</v>
      </c>
      <c r="BW41" s="207">
        <f>INDEX($A$35:$H$42,MATCH($L41,$B$35:$B$42,0),MATCH($BQ$34,$A$35:$H$35,0))*고양시_Modal_split!I$3 * 0.01</f>
        <v>4.168777350831054E-4</v>
      </c>
      <c r="BX41" s="207">
        <f>INDEX($A$35:$H$42,MATCH($L41,$B$35:$B$42,0),MATCH($BQ$34,$A$35:$H$35,0))*고양시_Modal_split!J$3 * 0.01</f>
        <v>4.5646612431401905E-3</v>
      </c>
      <c r="BY41" s="207">
        <f>INDEX($A$35:$H$42,MATCH($L41,$B$35:$B$42,0),MATCH($BQ$34,$A$35:$H$35,0))*고양시_Modal_split!K$3 * 0.01</f>
        <v>2.2493402972109999E-5</v>
      </c>
      <c r="BZ41" s="207">
        <f>INDEX($A$35:$H$42,MATCH($L41,$B$35:$B$42,0),MATCH($BQ$34,$A$35:$H$35,0))*고양시_Modal_split!L$3 * 0.01</f>
        <v>4.5286717983848137E-4</v>
      </c>
      <c r="CA41" s="207">
        <f>INDEX($A$35:$H$42,MATCH($L41,$B$35:$B$42,0),MATCH($BQ$34,$A$35:$H$35,0))*고양시_Modal_split!M$3 * 0.01</f>
        <v>3.4489884557235335E-5</v>
      </c>
      <c r="CB41" s="207">
        <f>INDEX($A$35:$H$42,MATCH($L41,$B$35:$B$42,0),MATCH($BQ$34,$A$35:$H$35,0))*고양시_Modal_split!N$3 * 0.01</f>
        <v>1.4995601981406669E-5</v>
      </c>
      <c r="CC41" s="207">
        <f>INDEX($A$35:$H$42,MATCH($L41,$B$35:$B$42,0),MATCH($BQ$34,$A$35:$H$35,0))*고양시_Modal_split!O$3 * 0.01</f>
        <v>2.6992083566532002E-5</v>
      </c>
      <c r="CD41" s="207">
        <f>INDEX($A$35:$H$42,MATCH($L41,$B$35:$B$42,0),MATCH($BQ$34,$A$35:$H$35,0))*고양시_Modal_split!P$3 * 0.01</f>
        <v>1.4995601981406669E-2</v>
      </c>
      <c r="CE41" s="304">
        <f t="shared" si="12"/>
        <v>0.14465869109999999</v>
      </c>
      <c r="CF41" s="304">
        <f t="shared" si="7"/>
        <v>24.297493722975005</v>
      </c>
      <c r="CG41" s="304">
        <f t="shared" si="7"/>
        <v>2.9396712584250002</v>
      </c>
      <c r="CH41" s="304">
        <f t="shared" si="7"/>
        <v>4.7375721335250001</v>
      </c>
      <c r="CI41" s="304">
        <f t="shared" si="7"/>
        <v>0.4753071278999999</v>
      </c>
      <c r="CJ41" s="304">
        <f t="shared" si="7"/>
        <v>5.1663818250000009E-3</v>
      </c>
      <c r="CK41" s="304">
        <f t="shared" si="7"/>
        <v>1.4362541473499997</v>
      </c>
      <c r="CL41" s="304">
        <f t="shared" si="7"/>
        <v>15.7264662753</v>
      </c>
      <c r="CM41" s="304">
        <f t="shared" si="7"/>
        <v>7.7495727375000004E-2</v>
      </c>
      <c r="CN41" s="304">
        <f t="shared" si="7"/>
        <v>1.5602473111499999</v>
      </c>
      <c r="CO41" s="304">
        <f t="shared" si="7"/>
        <v>0.11882678197499998</v>
      </c>
      <c r="CP41" s="304">
        <f t="shared" si="7"/>
        <v>5.1663818249999993E-2</v>
      </c>
      <c r="CQ41" s="304">
        <f t="shared" si="7"/>
        <v>9.2994872849999993E-2</v>
      </c>
      <c r="CR41" s="304">
        <f t="shared" si="7"/>
        <v>51.663818249999998</v>
      </c>
      <c r="CS41" s="305">
        <f t="shared" si="13"/>
        <v>0</v>
      </c>
      <c r="CV41" s="267"/>
      <c r="CW41" s="267" t="s">
        <v>721</v>
      </c>
      <c r="CX41" s="267">
        <f>INDEX($M$34:$Z$42,MATCH($CW41,$L$34:$L$42,0),MATCH(CX$35,$M$35:$Z$35,0))/INDEX(고양시_재차인원!$D$4:$H$35,MATCH("고양시",고양시_재차인원!$B$4:$B$35,0),MATCH($CX$34,고양시_재차인원!$D$4:$H$4,0))</f>
        <v>2.3776028632615973</v>
      </c>
      <c r="CY41" s="267">
        <f>INDEX($M$34:$Z$42,MATCH($CW41,$L$34:$L$42,0),MATCH(CY$35,$M$35:$Z$35,0))/INDEX(고양시_재차인원!$K$4:$O$20,MATCH("경기도",고양시_재차인원!$K$4:$K$20,0),MATCH(CY$35,고양시_재차인원!$K$4:$O$4,0))</f>
        <v>1.9667116670136568E-5</v>
      </c>
      <c r="CZ41" s="267">
        <f>INDEX($M$34:$Z$42,MATCH($CW41,$L$34:$L$42,0),MATCH(CZ$35,$M$35:$Z$35,0))/INDEX(고양시_재차인원!$K$4:$O$20,MATCH("경기도",고양시_재차인원!$K$4:$K$20,0),MATCH(CZ$35,고양시_재차인원!$K$4:$O$4,0))</f>
        <v>5.4674584342979653E-3</v>
      </c>
      <c r="DA41" s="267">
        <f>INDEX($M$34:$Z$42,MATCH($CW41,$L$34:$L$42,0),MATCH(DA$35,$M$35:$Z$35,0))/INDEX(고양시_재차인원!$D$4:$H$35,MATCH("고양시",고양시_재차인원!$B$4:$B$35,0),MATCH($CX$34,고양시_재차인원!$D$4:$H$4,0))</f>
        <v>0.1526761779087821</v>
      </c>
      <c r="DB41" s="267">
        <f>INDEX($AA$34:$AN$42,MATCH($CW41,$L$34:$L$42,0),MATCH(DB$35,$AA$35:$AN$35,0))/INDEX(고양시_재차인원!$D$4:$H$35,MATCH("고양시",고양시_재차인원!$B$4:$B$35,0),MATCH($DB$34,고양시_재차인원!$D$4:$H$4,0))</f>
        <v>14.685945928484401</v>
      </c>
      <c r="DC41" s="267">
        <f>INDEX($AA$34:$AN$42,MATCH($CW41,$L$34:$L$42,0),MATCH(DC$35,$AA$35:$AN$35,0))/INDEX(고양시_재차인원!$K$4:$O$20,MATCH("경기도",고양시_재차인원!$K$4:$K$20,0),MATCH(DC$35,고양시_재차인원!$K$4:$O$4,0))</f>
        <v>1.5293412191772388E-4</v>
      </c>
      <c r="DD41" s="267">
        <f>INDEX($AA$34:$AN$42,MATCH($CW41,$L$34:$L$42,0),MATCH(DD$35,$AA$35:$AN$35,0))/INDEX(고양시_재차인원!$K$4:$O$20,MATCH("경기도",고양시_재차인원!$K$4:$K$20,0),MATCH(DD$35,고양시_재차인원!$K$4:$O$4,0))</f>
        <v>4.2515685893127229E-2</v>
      </c>
      <c r="DE41" s="267">
        <f>INDEX($AA$34:$AN$42,MATCH($CW41,$L$34:$L$42,0),MATCH(DE$35,$AA$35:$AN$35,0))/INDEX(고양시_재차인원!$D$4:$H$35,MATCH("고양시",고양시_재차인원!$B$4:$B$35,0),MATCH($DB$34,고양시_재차인원!$D$4:$H$4,0))</f>
        <v>0.9430481969811374</v>
      </c>
      <c r="DF41" s="267">
        <f>INDEX($AO$34:$BB$42,MATCH($CW41,$L$34:$L$42,0),MATCH(DF$35,$AO$35:$BB$35,0))/INDEX(고양시_재차인원!$D$4:$H$35,MATCH("고양시",고양시_재차인원!$B$4:$B$35,0),MATCH($DF$34,고양시_재차인원!$D$4:$H$4,0))</f>
        <v>0.70604094756698832</v>
      </c>
      <c r="DG41" s="267">
        <f>INDEX($AO$34:$BB$42,MATCH($CW41,$L$34:$L$42,0),MATCH(DG$35,$AO$35:$BB$35,0))/INDEX(고양시_재차인원!$K$4:$O$20,MATCH("경기도",고양시_재차인원!$K$4:$K$20,0),MATCH(DG$35,고양시_재차인원!$K$4:$O$4,0))</f>
        <v>6.7788589550829151E-6</v>
      </c>
      <c r="DH41" s="267">
        <f>INDEX($AO$34:$BB$42,MATCH($CW41,$L$34:$L$42,0),MATCH(DH$35,$AO$35:$BB$35,0))/INDEX(고양시_재차인원!$K$4:$O$20,MATCH("경기도",고양시_재차인원!$K$4:$K$20,0),MATCH(DH$35,고양시_재차인원!$K$4:$O$4,0))</f>
        <v>1.8845227895130498E-3</v>
      </c>
      <c r="DI41" s="267">
        <f>INDEX($AO$34:$BB$42,MATCH($CW41,$L$34:$L$42,0),MATCH(DI$35,$AO$35:$BB$35,0))/INDEX(고양시_재차인원!$D$4:$H$35,MATCH("고양시",고양시_재차인원!$B$4:$B$35,0),MATCH($DF$34,고양시_재차인원!$D$4:$H$4,0))</f>
        <v>4.5337947302834462E-2</v>
      </c>
      <c r="DJ41" s="267">
        <f>INDEX($BC$34:$BP$42,MATCH($CW41,$L$34:$L$42,0),MATCH(DJ$35,$BC$35:$BP$35,0))/INDEX(고양시_재차인원!$D$4:$H$35,MATCH("고양시",고양시_재차인원!$B$4:$B$35,0),MATCH($DJ$34,고양시_재차인원!$D$4:$H$4,0))</f>
        <v>1.8302158162254994E-3</v>
      </c>
      <c r="DK41" s="267">
        <f>INDEX($BC$34:$BP$42,MATCH($CW41,$L$34:$L$42,0),MATCH(DK$35,$BC$35:$BP$35,0))/INDEX(고양시_재차인원!$K$4:$O$20,MATCH("경기도",고양시_재차인원!$K$4:$K$20,0),MATCH(DK$35,고양시_재차인원!$K$4:$O$4,0))</f>
        <v>1.8383346318868985E-8</v>
      </c>
      <c r="DL41" s="267">
        <f>INDEX($BC$34:$BP$42,MATCH($CW41,$L$34:$L$42,0),MATCH(DL$35,$BC$35:$BP$35,0))/INDEX(고양시_재차인원!$K$4:$O$20,MATCH("경기도",고양시_재차인원!$K$4:$K$20,0),MATCH(DL$35,고양시_재차인원!$K$4:$O$4,0))</f>
        <v>5.1105702766455772E-6</v>
      </c>
      <c r="DM41" s="267">
        <f>INDEX($BC$34:$BP$42,MATCH($CW41,$L$34:$L$42,0),MATCH(DM$35,$BC$35:$BP$35,0))/INDEX(고양시_재차인원!$D$4:$H$35,MATCH("고양시",고양시_재차인원!$B$4:$B$35,0),MATCH($DJ$34,고양시_재차인원!$D$4:$H$4,0))</f>
        <v>1.175260847331705E-4</v>
      </c>
      <c r="DN41" s="267">
        <f>INDEX($BQ$34:$CD$42,MATCH($CW41,$L$34:$L$42,0),MATCH(DN$35,$BQ$35:$CD$35,0))/INDEX(고양시_재차인원!$D$4:$H$35,MATCH("고양시",고양시_재차인원!$B$4:$B$35,0),MATCH($DN$34,고양시_재차인원!$D$4:$H$4,0))</f>
        <v>5.5971679459171078E-3</v>
      </c>
      <c r="DO41" s="267">
        <f>INDEX($BQ$34:$CD$42,MATCH($CW41,$L$34:$L$42,0),MATCH(DO$35,$BQ$35:$CD$35,0))/INDEX(고양시_재차인원!$K$4:$O$20,MATCH("경기도",고양시_재차인원!$K$4:$K$20,0),MATCH(DO$35,고양시_재차인원!$K$4:$O$4,0))</f>
        <v>5.2086147903461863E-8</v>
      </c>
      <c r="DP41" s="267">
        <f>INDEX($BQ$34:$CD$42,MATCH($CW41,$L$34:$L$42,0),MATCH(DP$35,$BQ$35:$CD$35,0))/INDEX(고양시_재차인원!$K$4:$O$20,MATCH("경기도",고양시_재차인원!$K$4:$K$20,0),MATCH(DP$35,고양시_재차인원!$K$4:$O$4,0))</f>
        <v>1.4479949117162398E-5</v>
      </c>
      <c r="DQ41" s="267">
        <f>INDEX($BQ$34:$CD$42,MATCH($CW41,$L$34:$L$42,0),MATCH(DQ$35,$BQ$35:$CD$35,0))/INDEX(고양시_재차인원!$D$4:$H$35,MATCH("고양시",고양시_재차인원!$B$4:$B$35,0),MATCH($DN$34,고양시_재차인원!$D$4:$H$4,0))</f>
        <v>3.5941839669720744E-4</v>
      </c>
      <c r="DR41" s="270">
        <f t="shared" si="14"/>
        <v>17.777017123075133</v>
      </c>
      <c r="DS41" s="270">
        <f t="shared" si="8"/>
        <v>1.7945056703716567E-4</v>
      </c>
      <c r="DT41" s="270">
        <f t="shared" si="8"/>
        <v>4.9887257636332061E-2</v>
      </c>
      <c r="DU41" s="270">
        <f t="shared" si="8"/>
        <v>1.1415392666741844</v>
      </c>
      <c r="DW41" s="278"/>
      <c r="DX41" s="278" t="s">
        <v>721</v>
      </c>
      <c r="DY41" s="281">
        <f t="shared" si="15"/>
        <v>18.918556389749316</v>
      </c>
      <c r="DZ41" s="281">
        <f t="shared" si="16"/>
        <v>5.0066708203369226E-2</v>
      </c>
      <c r="EB41" s="278"/>
      <c r="EC41" s="278" t="s">
        <v>13</v>
      </c>
      <c r="ED41" s="281">
        <f t="shared" si="17"/>
        <v>18.918556389749316</v>
      </c>
      <c r="EE41" s="281">
        <f t="shared" si="9"/>
        <v>5.0066708203369226E-2</v>
      </c>
    </row>
    <row r="42" spans="1:157" ht="37.5">
      <c r="A42" s="205" t="s">
        <v>703</v>
      </c>
      <c r="B42" s="205" t="s">
        <v>724</v>
      </c>
      <c r="C42" s="400">
        <f>$D17*KTDB_TripDistribution_2025!L$12 * (1+KTDB_발생량도착량_증가율!$C$8)</f>
        <v>33.972977335993903</v>
      </c>
      <c r="D42" s="400">
        <f>$D17*KTDB_TripDistribution_2025!M$12 * (1+KTDB_발생량도착량_증가율!$C$8)</f>
        <v>264.17840220067626</v>
      </c>
      <c r="E42" s="400">
        <f>$D17*KTDB_TripDistribution_2025!N$12 * (1+KTDB_발생량도착량_증가율!$C$8)</f>
        <v>11.709800959010224</v>
      </c>
      <c r="F42" s="400">
        <f>$D17*KTDB_TripDistribution_2025!O$12 * (1+KTDB_발생량도착량_증가율!$C$8)</f>
        <v>3.175539243121428E-2</v>
      </c>
      <c r="G42" s="400">
        <f>$D17*KTDB_TripDistribution_2025!P$12 * (1+KTDB_발생량도착량_증가율!$C$8)</f>
        <v>8.9973611888440011E-2</v>
      </c>
      <c r="H42" s="400">
        <f>$D17*KTDB_TripDistribution_2025!Q$12 * (1+KTDB_발생량도착량_증가율!$C$8)</f>
        <v>309.98290950000001</v>
      </c>
      <c r="I42" s="56"/>
      <c r="J42" s="56"/>
      <c r="K42" s="206"/>
      <c r="L42" s="206" t="s">
        <v>723</v>
      </c>
      <c r="M42" s="206">
        <f>INDEX($A$35:$H$42,MATCH($L42,$B$35:$B$42,0),MATCH($M$34,$A$35:$H$35,0))*고양시_Modal_split!C$3 * 0.01</f>
        <v>9.5124336540782922E-2</v>
      </c>
      <c r="N42" s="206">
        <f>INDEX($A$35:$H$42,MATCH($L42,$B$35:$B$42,0),MATCH($M$34,$A$35:$H$35,0))*고양시_Modal_split!D$3 * 0.01</f>
        <v>15.977491241117933</v>
      </c>
      <c r="O42" s="206">
        <f>INDEX($A$35:$H$42,MATCH($L42,$B$35:$B$42,0),MATCH($M$34,$A$35:$H$35,0))*고양시_Modal_split!E$3 * 0.01</f>
        <v>1.9330624104180529</v>
      </c>
      <c r="P42" s="206">
        <f>INDEX($A$35:$H$42,MATCH($L42,$B$35:$B$42,0),MATCH($M$34,$A$35:$H$35,0))*고양시_Modal_split!F$3 * 0.01</f>
        <v>3.1153220217106412</v>
      </c>
      <c r="Q42" s="206">
        <f>INDEX($A$35:$H$42,MATCH($L42,$B$35:$B$42,0),MATCH($M$34,$A$35:$H$35,0))*고양시_Modal_split!G$3 * 0.01</f>
        <v>0.31255139149114392</v>
      </c>
      <c r="R42" s="206">
        <f>INDEX($A$35:$H$42,MATCH($L42,$B$35:$B$42,0),MATCH($M$34,$A$35:$H$35,0))*고양시_Modal_split!H$3 * 0.01</f>
        <v>3.3972977335993905E-3</v>
      </c>
      <c r="S42" s="206">
        <f>INDEX($A$35:$H$42,MATCH($L42,$B$35:$B$42,0),MATCH($M$34,$A$35:$H$35,0))*고양시_Modal_split!I$3 * 0.01</f>
        <v>0.94444876994063043</v>
      </c>
      <c r="T42" s="206">
        <f>INDEX($A$35:$H$42,MATCH($L42,$B$35:$B$42,0),MATCH($M$34,$A$35:$H$35,0))*고양시_Modal_split!J$3 * 0.01</f>
        <v>10.341374301076543</v>
      </c>
      <c r="U42" s="206">
        <f>INDEX($A$35:$H$42,MATCH($L42,$B$35:$B$42,0),MATCH($M$34,$A$35:$H$35,0))*고양시_Modal_split!K$3 * 0.01</f>
        <v>5.0959466003990858E-2</v>
      </c>
      <c r="V42" s="206">
        <f>INDEX($A$35:$H$42,MATCH($L42,$B$35:$B$42,0),MATCH($M$34,$A$35:$H$35,0))*고양시_Modal_split!L$3 * 0.01</f>
        <v>1.0259839155470158</v>
      </c>
      <c r="W42" s="206">
        <f>INDEX($A$35:$H$42,MATCH($L42,$B$35:$B$42,0),MATCH($M$34,$A$35:$H$35,0))*고양시_Modal_split!M$3 * 0.01</f>
        <v>7.8137847872785979E-2</v>
      </c>
      <c r="X42" s="206">
        <f>INDEX($A$35:$H$42,MATCH($L42,$B$35:$B$42,0),MATCH($M$34,$A$35:$H$35,0))*고양시_Modal_split!N$3 * 0.01</f>
        <v>3.3972977335993908E-2</v>
      </c>
      <c r="Y42" s="206">
        <f>INDEX($A$35:$H$42,MATCH($L42,$B$35:$B$42,0),MATCH($M$34,$A$35:$H$35,0))*고양시_Modal_split!O$3 * 0.01</f>
        <v>6.1151359204789028E-2</v>
      </c>
      <c r="Z42" s="209">
        <f>INDEX($A$35:$H$42,MATCH($L42,$B$35:$B$42,0),MATCH($M$34,$A$35:$H$35,0))*고양시_Modal_split!P$3 * 0.01</f>
        <v>33.972977335993903</v>
      </c>
      <c r="AA42" s="207">
        <f>INDEX($A$35:$H$42,MATCH($L42,$B$35:$B$42,0),MATCH($AA$34,$A$35:$H$35,0))*고양시_Modal_split!C$3 * 0.01</f>
        <v>0.73969952616189349</v>
      </c>
      <c r="AB42" s="207">
        <f>INDEX($A$35:$H$42,MATCH($L42,$B$35:$B$42,0),MATCH($AA$34,$A$35:$H$35,0))*고양시_Modal_split!D$3 * 0.01</f>
        <v>124.24310255497805</v>
      </c>
      <c r="AC42" s="207">
        <f>INDEX($A$35:$H$42,MATCH($L42,$B$35:$B$42,0),MATCH($AA$34,$A$35:$H$35,0))*고양시_Modal_split!E$3 * 0.01</f>
        <v>15.031751085218477</v>
      </c>
      <c r="AD42" s="207">
        <f>INDEX($A$35:$H$42,MATCH($L42,$B$35:$B$42,0),MATCH($AA$34,$A$35:$H$35,0))*고양시_Modal_split!F$3 * 0.01</f>
        <v>24.225159481802013</v>
      </c>
      <c r="AE42" s="207">
        <f>INDEX($A$35:$H$42,MATCH($L42,$B$35:$B$42,0),MATCH($AA$34,$A$35:$H$35,0))*고양시_Modal_split!G$3 * 0.01</f>
        <v>2.4304413002462217</v>
      </c>
      <c r="AF42" s="207">
        <f>INDEX($A$35:$H$42,MATCH($L42,$B$35:$B$42,0),MATCH($AA$34,$A$35:$H$35,0))*고양시_Modal_split!H$3 * 0.01</f>
        <v>2.6417840220067625E-2</v>
      </c>
      <c r="AG42" s="207">
        <f>INDEX($A$35:$H$42,MATCH($L42,$B$35:$B$42,0),MATCH($AA$34,$A$35:$H$35,0))*고양시_Modal_split!I$3 * 0.01</f>
        <v>7.3441595811788005</v>
      </c>
      <c r="AH42" s="207">
        <f>INDEX($A$35:$H$42,MATCH($L42,$B$35:$B$42,0),MATCH($AA$34,$A$35:$H$35,0))*고양시_Modal_split!J$3 * 0.01</f>
        <v>80.415905629885856</v>
      </c>
      <c r="AI42" s="207">
        <f>INDEX($A$35:$H$42,MATCH($L42,$B$35:$B$42,0),MATCH($AA$34,$A$35:$H$35,0))*고양시_Modal_split!K$3 * 0.01</f>
        <v>0.3962676033010144</v>
      </c>
      <c r="AJ42" s="207">
        <f>INDEX($A$35:$H$42,MATCH($L42,$B$35:$B$42,0),MATCH($AA$34,$A$35:$H$35,0))*고양시_Modal_split!L$3 * 0.01</f>
        <v>7.9781877464604234</v>
      </c>
      <c r="AK42" s="207">
        <f>INDEX($A$35:$H$42,MATCH($L42,$B$35:$B$42,0),MATCH($AA$34,$A$35:$H$35,0))*고양시_Modal_split!M$3 * 0.01</f>
        <v>0.60761032506155543</v>
      </c>
      <c r="AL42" s="207">
        <f>INDEX($A$35:$H$42,MATCH($L42,$B$35:$B$42,0),MATCH($AA$34,$A$35:$H$35,0))*고양시_Modal_split!N$3 * 0.01</f>
        <v>0.26417840220067629</v>
      </c>
      <c r="AM42" s="207">
        <f>INDEX($A$35:$H$42,MATCH($L42,$B$35:$B$42,0),MATCH($AA$34,$A$35:$H$35,0))*고양시_Modal_split!O$3 * 0.01</f>
        <v>0.47552112396121732</v>
      </c>
      <c r="AN42" s="207">
        <f>INDEX($A$35:$H$42,MATCH($L42,$B$35:$B$42,0),MATCH($AA$34,$A$35:$H$35,0))*고양시_Modal_split!P$3 * 0.01</f>
        <v>264.17840220067626</v>
      </c>
      <c r="AO42" s="303">
        <f>INDEX($A$35:$H$42,MATCH($L42,$B$35:$B$42,0),MATCH($AO$34,$A$35:$H$35,0))*고양시_Modal_split!C$3 * 0.01</f>
        <v>3.2787442685228624E-2</v>
      </c>
      <c r="AP42" s="303">
        <f>INDEX($A$35:$H$42,MATCH($L42,$B$35:$B$42,0),MATCH($AO$34,$A$35:$H$35,0))*고양시_Modal_split!D$3 * 0.01</f>
        <v>5.5071193910225089</v>
      </c>
      <c r="AQ42" s="303">
        <f>INDEX($A$35:$H$42,MATCH($L42,$B$35:$B$42,0),MATCH($AO$34,$A$35:$H$35,0))*고양시_Modal_split!E$3 * 0.01</f>
        <v>0.66628767456768179</v>
      </c>
      <c r="AR42" s="303">
        <f>INDEX($A$35:$H$42,MATCH($L42,$B$35:$B$42,0),MATCH($AO$34,$A$35:$H$35,0))*고양시_Modal_split!F$3 * 0.01</f>
        <v>1.0737887479412376</v>
      </c>
      <c r="AS42" s="303">
        <f>INDEX($A$35:$H$42,MATCH($L42,$B$35:$B$42,0),MATCH($AO$34,$A$35:$H$35,0))*고양시_Modal_split!G$3 * 0.01</f>
        <v>0.10773016882289405</v>
      </c>
      <c r="AT42" s="303">
        <f>INDEX($A$35:$H$42,MATCH($L42,$B$35:$B$42,0),MATCH($AO$34,$A$35:$H$35,0))*고양시_Modal_split!H$3 * 0.01</f>
        <v>1.1709800959010224E-3</v>
      </c>
      <c r="AU42" s="303">
        <f>INDEX($A$35:$H$42,MATCH($L42,$B$35:$B$42,0),MATCH($AO$34,$A$35:$H$35,0))*고양시_Modal_split!I$3 * 0.01</f>
        <v>0.32553246666048419</v>
      </c>
      <c r="AV42" s="303">
        <f>INDEX($A$35:$H$42,MATCH($L42,$B$35:$B$42,0),MATCH($AO$34,$A$35:$H$35,0))*고양시_Modal_split!J$3 * 0.01</f>
        <v>3.5644634119227123</v>
      </c>
      <c r="AW42" s="303">
        <f>INDEX($A$35:$H$42,MATCH($L42,$B$35:$B$42,0),MATCH($AO$34,$A$35:$H$35,0))*고양시_Modal_split!K$3 * 0.01</f>
        <v>1.7564701438515337E-2</v>
      </c>
      <c r="AX42" s="303">
        <f>INDEX($A$35:$H$42,MATCH($L42,$B$35:$B$42,0),MATCH($AO$34,$A$35:$H$35,0))*고양시_Modal_split!L$3 * 0.01</f>
        <v>0.35363598896210874</v>
      </c>
      <c r="AY42" s="303">
        <f>INDEX($A$35:$H$42,MATCH($L42,$B$35:$B$42,0),MATCH($AO$34,$A$35:$H$35,0))*고양시_Modal_split!M$3 * 0.01</f>
        <v>2.6932542205723511E-2</v>
      </c>
      <c r="AZ42" s="303">
        <f>INDEX($A$35:$H$42,MATCH($L42,$B$35:$B$42,0),MATCH($AO$34,$A$35:$H$35,0))*고양시_Modal_split!N$3 * 0.01</f>
        <v>1.1709800959010225E-2</v>
      </c>
      <c r="BA42" s="207">
        <f>INDEX($A$35:$H$42,MATCH($L42,$B$35:$B$42,0),MATCH($AO$34,$A$35:$H$35,0))*고양시_Modal_split!O$3 * 0.01</f>
        <v>2.1077641726218403E-2</v>
      </c>
      <c r="BB42" s="207">
        <f>INDEX($A$35:$H$42,MATCH($L42,$B$35:$B$42,0),MATCH($AO$34,$A$35:$H$35,0))*고양시_Modal_split!P$3 * 0.01</f>
        <v>11.709800959010224</v>
      </c>
      <c r="BC42" s="207">
        <f>INDEX($A$35:$H$42,MATCH($L42,$B$35:$B$42,0),MATCH($BC$34,$A$35:$H$35,0))*고양시_Modal_split!C$3 * 0.01</f>
        <v>8.8915098807399977E-5</v>
      </c>
      <c r="BD42" s="207">
        <f>INDEX($A$35:$H$42,MATCH($L42,$B$35:$B$42,0),MATCH($BC$34,$A$35:$H$35,0))*고양시_Modal_split!D$3 * 0.01</f>
        <v>1.4934561060400076E-2</v>
      </c>
      <c r="BE42" s="207">
        <f>INDEX($A$35:$H$42,MATCH($L42,$B$35:$B$42,0),MATCH($BC$34,$A$35:$H$35,0))*고양시_Modal_split!E$3 * 0.01</f>
        <v>1.8068818293360926E-3</v>
      </c>
      <c r="BF42" s="207">
        <f>INDEX($A$35:$H$42,MATCH($L42,$B$35:$B$42,0),MATCH($BC$34,$A$35:$H$35,0))*고양시_Modal_split!F$3 * 0.01</f>
        <v>2.9119694859423497E-3</v>
      </c>
      <c r="BG42" s="207">
        <f>INDEX($A$35:$H$42,MATCH($L42,$B$35:$B$42,0),MATCH($BC$34,$A$35:$H$35,0))*고양시_Modal_split!G$3 * 0.01</f>
        <v>2.9214961036717137E-4</v>
      </c>
      <c r="BH42" s="207">
        <f>INDEX($A$35:$H$42,MATCH($L42,$B$35:$B$42,0),MATCH($BC$34,$A$35:$H$35,0))*고양시_Modal_split!H$3 * 0.01</f>
        <v>3.1755392431214282E-6</v>
      </c>
      <c r="BI42" s="207">
        <f>INDEX($A$35:$H$42,MATCH($L42,$B$35:$B$42,0),MATCH($BC$34,$A$35:$H$35,0))*고양시_Modal_split!I$3 * 0.01</f>
        <v>8.8279990958775687E-4</v>
      </c>
      <c r="BJ42" s="207">
        <f>INDEX($A$35:$H$42,MATCH($L42,$B$35:$B$42,0),MATCH($BC$34,$A$35:$H$35,0))*고양시_Modal_split!J$3 * 0.01</f>
        <v>9.6663414560616261E-3</v>
      </c>
      <c r="BK42" s="207">
        <f>INDEX($A$35:$H$42,MATCH($L42,$B$35:$B$42,0),MATCH($BC$34,$A$35:$H$35,0))*고양시_Modal_split!K$3 * 0.01</f>
        <v>4.763308864682142E-5</v>
      </c>
      <c r="BL42" s="207">
        <f>INDEX($A$35:$H$42,MATCH($L42,$B$35:$B$42,0),MATCH($BC$34,$A$35:$H$35,0))*고양시_Modal_split!L$3 * 0.01</f>
        <v>9.5901285142267138E-4</v>
      </c>
      <c r="BM42" s="207">
        <f>INDEX($A$35:$H$42,MATCH($L42,$B$35:$B$42,0),MATCH($BC$34,$A$35:$H$35,0))*고양시_Modal_split!M$3 * 0.01</f>
        <v>7.3037402591792842E-5</v>
      </c>
      <c r="BN42" s="207">
        <f>INDEX($A$35:$H$42,MATCH($L42,$B$35:$B$42,0),MATCH($BC$34,$A$35:$H$35,0))*고양시_Modal_split!N$3 * 0.01</f>
        <v>3.1755392431214284E-5</v>
      </c>
      <c r="BO42" s="207">
        <f>INDEX($A$35:$H$42,MATCH($L42,$B$35:$B$42,0),MATCH($BC$34,$A$35:$H$35,0))*고양시_Modal_split!O$3 * 0.01</f>
        <v>5.71597063761857E-5</v>
      </c>
      <c r="BP42" s="207">
        <f>INDEX($A$35:$H$42,MATCH($L42,$B$35:$B$42,0),MATCH($BC$34,$A$35:$H$35,0))*고양시_Modal_split!P$3 * 0.01</f>
        <v>3.175539243121428E-2</v>
      </c>
      <c r="BQ42" s="207">
        <f>INDEX($A$35:$H$42,MATCH($L42,$B$35:$B$42,0),MATCH($BQ$34,$A$35:$H$35,0))*고양시_Modal_split!C$3 * 0.01</f>
        <v>2.5192611328763202E-4</v>
      </c>
      <c r="BR42" s="207">
        <f>INDEX($A$35:$H$42,MATCH($L42,$B$35:$B$42,0),MATCH($BQ$34,$A$35:$H$35,0))*고양시_Modal_split!D$3 * 0.01</f>
        <v>4.2314589671133343E-2</v>
      </c>
      <c r="BS42" s="207">
        <f>INDEX($A$35:$H$42,MATCH($L42,$B$35:$B$42,0),MATCH($BQ$34,$A$35:$H$35,0))*고양시_Modal_split!E$3 * 0.01</f>
        <v>5.119498516452237E-3</v>
      </c>
      <c r="BT42" s="207">
        <f>INDEX($A$35:$H$42,MATCH($L42,$B$35:$B$42,0),MATCH($BQ$34,$A$35:$H$35,0))*고양시_Modal_split!F$3 * 0.01</f>
        <v>8.2505802101699496E-3</v>
      </c>
      <c r="BU42" s="207">
        <f>INDEX($A$35:$H$42,MATCH($L42,$B$35:$B$42,0),MATCH($BQ$34,$A$35:$H$35,0))*고양시_Modal_split!G$3 * 0.01</f>
        <v>8.2775722937364804E-4</v>
      </c>
      <c r="BV42" s="207">
        <f>INDEX($A$35:$H$42,MATCH($L42,$B$35:$B$42,0),MATCH($BQ$34,$A$35:$H$35,0))*고양시_Modal_split!H$3 * 0.01</f>
        <v>8.9973611888440013E-6</v>
      </c>
      <c r="BW42" s="207">
        <f>INDEX($A$35:$H$42,MATCH($L42,$B$35:$B$42,0),MATCH($BQ$34,$A$35:$H$35,0))*고양시_Modal_split!I$3 * 0.01</f>
        <v>2.5012664104986323E-3</v>
      </c>
      <c r="BX42" s="207">
        <f>INDEX($A$35:$H$42,MATCH($L42,$B$35:$B$42,0),MATCH($BQ$34,$A$35:$H$35,0))*고양시_Modal_split!J$3 * 0.01</f>
        <v>2.7387967458841145E-2</v>
      </c>
      <c r="BY42" s="207">
        <f>INDEX($A$35:$H$42,MATCH($L42,$B$35:$B$42,0),MATCH($BQ$34,$A$35:$H$35,0))*고양시_Modal_split!K$3 * 0.01</f>
        <v>1.3496041783266001E-4</v>
      </c>
      <c r="BZ42" s="207">
        <f>INDEX($A$35:$H$42,MATCH($L42,$B$35:$B$42,0),MATCH($BQ$34,$A$35:$H$35,0))*고양시_Modal_split!L$3 * 0.01</f>
        <v>2.7172030790308882E-3</v>
      </c>
      <c r="CA42" s="207">
        <f>INDEX($A$35:$H$42,MATCH($L42,$B$35:$B$42,0),MATCH($BQ$34,$A$35:$H$35,0))*고양시_Modal_split!M$3 * 0.01</f>
        <v>2.0693930734341201E-4</v>
      </c>
      <c r="CB42" s="207">
        <f>INDEX($A$35:$H$42,MATCH($L42,$B$35:$B$42,0),MATCH($BQ$34,$A$35:$H$35,0))*고양시_Modal_split!N$3 * 0.01</f>
        <v>8.9973611888440023E-5</v>
      </c>
      <c r="CC42" s="207">
        <f>INDEX($A$35:$H$42,MATCH($L42,$B$35:$B$42,0),MATCH($BQ$34,$A$35:$H$35,0))*고양시_Modal_split!O$3 * 0.01</f>
        <v>1.6195250139919203E-4</v>
      </c>
      <c r="CD42" s="207">
        <f>INDEX($A$35:$H$42,MATCH($L42,$B$35:$B$42,0),MATCH($BQ$34,$A$35:$H$35,0))*고양시_Modal_split!P$3 * 0.01</f>
        <v>8.9973611888440011E-2</v>
      </c>
      <c r="CE42" s="304">
        <f t="shared" si="12"/>
        <v>0.86795214659999997</v>
      </c>
      <c r="CF42" s="304">
        <f t="shared" si="7"/>
        <v>145.78496233785</v>
      </c>
      <c r="CG42" s="304">
        <f t="shared" si="7"/>
        <v>17.638027550549999</v>
      </c>
      <c r="CH42" s="304">
        <f t="shared" si="7"/>
        <v>28.425432801150006</v>
      </c>
      <c r="CI42" s="304">
        <f t="shared" si="7"/>
        <v>2.8518427674000004</v>
      </c>
      <c r="CJ42" s="304">
        <f t="shared" si="7"/>
        <v>3.099829095E-2</v>
      </c>
      <c r="CK42" s="304">
        <f t="shared" si="7"/>
        <v>8.6175248840999998</v>
      </c>
      <c r="CL42" s="304">
        <f t="shared" si="7"/>
        <v>94.358797651800018</v>
      </c>
      <c r="CM42" s="304">
        <f t="shared" si="7"/>
        <v>0.46497436425000011</v>
      </c>
      <c r="CN42" s="304">
        <f t="shared" si="7"/>
        <v>9.3614838669000022</v>
      </c>
      <c r="CO42" s="304">
        <f t="shared" si="7"/>
        <v>0.71296069185000011</v>
      </c>
      <c r="CP42" s="304">
        <f t="shared" si="7"/>
        <v>0.30998290950000013</v>
      </c>
      <c r="CQ42" s="304">
        <f t="shared" si="7"/>
        <v>0.55796923710000013</v>
      </c>
      <c r="CR42" s="304">
        <f t="shared" si="7"/>
        <v>309.98290950000006</v>
      </c>
      <c r="CS42" s="305">
        <f t="shared" si="13"/>
        <v>0</v>
      </c>
      <c r="CV42" s="267"/>
      <c r="CW42" s="267" t="s">
        <v>723</v>
      </c>
      <c r="CX42" s="267">
        <f>INDEX($M$34:$Z$42,MATCH($CW42,$L$34:$L$42,0),MATCH(CX$35,$M$35:$Z$35,0))/INDEX(고양시_재차인원!$D$4:$H$35,MATCH("고양시",고양시_재차인원!$B$4:$B$35,0),MATCH($CX$34,고양시_재차인원!$D$4:$H$4,0))</f>
        <v>14.265617179569581</v>
      </c>
      <c r="CY42" s="267">
        <f>INDEX($M$34:$Z$42,MATCH($CW42,$L$34:$L$42,0),MATCH(CY$35,$M$35:$Z$35,0))/INDEX(고양시_재차인원!$K$4:$O$20,MATCH("경기도",고양시_재차인원!$K$4:$K$20,0),MATCH(CY$35,고양시_재차인원!$K$4:$O$4,0))</f>
        <v>1.180027000208194E-4</v>
      </c>
      <c r="CZ42" s="267">
        <f>INDEX($M$34:$Z$42,MATCH($CW42,$L$34:$L$42,0),MATCH(CZ$35,$M$35:$Z$35,0))/INDEX(고양시_재차인원!$K$4:$O$20,MATCH("경기도",고양시_재차인원!$K$4:$K$20,0),MATCH(CZ$35,고양시_재차인원!$K$4:$O$4,0))</f>
        <v>3.2804750605787789E-2</v>
      </c>
      <c r="DA42" s="267">
        <f>INDEX($M$34:$Z$42,MATCH($CW42,$L$34:$L$42,0),MATCH(DA$35,$M$35:$Z$35,0))/INDEX(고양시_재차인원!$D$4:$H$35,MATCH("고양시",고양시_재차인원!$B$4:$B$35,0),MATCH($CX$34,고양시_재차인원!$D$4:$H$4,0))</f>
        <v>0.91605706745269266</v>
      </c>
      <c r="DB42" s="267">
        <f>INDEX($AA$34:$AN$42,MATCH($CW42,$L$34:$L$42,0),MATCH(DB$35,$AA$35:$AN$35,0))/INDEX(고양시_재차인원!$D$4:$H$35,MATCH("고양시",고양시_재차인원!$B$4:$B$35,0),MATCH($DB$34,고양시_재차인원!$D$4:$H$4,0))</f>
        <v>88.115675570906419</v>
      </c>
      <c r="DC42" s="267">
        <f>INDEX($AA$34:$AN$42,MATCH($CW42,$L$34:$L$42,0),MATCH(DC$35,$AA$35:$AN$35,0))/INDEX(고양시_재차인원!$K$4:$O$20,MATCH("경기도",고양시_재차인원!$K$4:$K$20,0),MATCH(DC$35,고양시_재차인원!$K$4:$O$4,0))</f>
        <v>9.1760473150634338E-4</v>
      </c>
      <c r="DD42" s="267">
        <f>INDEX($AA$34:$AN$42,MATCH($CW42,$L$34:$L$42,0),MATCH(DD$35,$AA$35:$AN$35,0))/INDEX(고양시_재차인원!$K$4:$O$20,MATCH("경기도",고양시_재차인원!$K$4:$K$20,0),MATCH(DD$35,고양시_재차인원!$K$4:$O$4,0))</f>
        <v>0.25509411535876347</v>
      </c>
      <c r="DE42" s="267">
        <f>INDEX($AA$34:$AN$42,MATCH($CW42,$L$34:$L$42,0),MATCH(DE$35,$AA$35:$AN$35,0))/INDEX(고양시_재차인원!$D$4:$H$35,MATCH("고양시",고양시_재차인원!$B$4:$B$35,0),MATCH($DB$34,고양시_재차인원!$D$4:$H$4,0))</f>
        <v>5.6582891818868255</v>
      </c>
      <c r="DF42" s="267">
        <f>INDEX($AO$34:$BB$42,MATCH($CW42,$L$34:$L$42,0),MATCH(DF$35,$AO$35:$BB$35,0))/INDEX(고양시_재차인원!$D$4:$H$35,MATCH("고양시",고양시_재차인원!$B$4:$B$35,0),MATCH($DF$34,고양시_재차인원!$D$4:$H$4,0))</f>
        <v>4.2362456854019301</v>
      </c>
      <c r="DG42" s="267">
        <f>INDEX($AO$34:$BB$42,MATCH($CW42,$L$34:$L$42,0),MATCH(DG$35,$AO$35:$BB$35,0))/INDEX(고양시_재차인원!$K$4:$O$20,MATCH("경기도",고양시_재차인원!$K$4:$K$20,0),MATCH(DG$35,고양시_재차인원!$K$4:$O$4,0))</f>
        <v>4.0673153730497484E-5</v>
      </c>
      <c r="DH42" s="267">
        <f>INDEX($AO$34:$BB$42,MATCH($CW42,$L$34:$L$42,0),MATCH(DH$35,$AO$35:$BB$35,0))/INDEX(고양시_재차인원!$K$4:$O$20,MATCH("경기도",고양시_재차인원!$K$4:$K$20,0),MATCH(DH$35,고양시_재차인원!$K$4:$O$4,0))</f>
        <v>1.1307136737078298E-2</v>
      </c>
      <c r="DI42" s="267">
        <f>INDEX($AO$34:$BB$42,MATCH($CW42,$L$34:$L$42,0),MATCH(DI$35,$AO$35:$BB$35,0))/INDEX(고양시_재차인원!$D$4:$H$35,MATCH("고양시",고양시_재차인원!$B$4:$B$35,0),MATCH($DF$34,고양시_재차인원!$D$4:$H$4,0))</f>
        <v>0.2720276838170067</v>
      </c>
      <c r="DJ42" s="267">
        <f>INDEX($BC$34:$BP$42,MATCH($CW42,$L$34:$L$42,0),MATCH(DJ$35,$BC$35:$BP$35,0))/INDEX(고양시_재차인원!$D$4:$H$35,MATCH("고양시",고양시_재차인원!$B$4:$B$35,0),MATCH($DJ$34,고양시_재차인원!$D$4:$H$4,0))</f>
        <v>1.0981294897352997E-2</v>
      </c>
      <c r="DK42" s="267">
        <f>INDEX($BC$34:$BP$42,MATCH($CW42,$L$34:$L$42,0),MATCH(DK$35,$BC$35:$BP$35,0))/INDEX(고양시_재차인원!$K$4:$O$20,MATCH("경기도",고양시_재차인원!$K$4:$K$20,0),MATCH(DK$35,고양시_재차인원!$K$4:$O$4,0))</f>
        <v>1.103000779132139E-7</v>
      </c>
      <c r="DL42" s="267">
        <f>INDEX($BC$34:$BP$42,MATCH($CW42,$L$34:$L$42,0),MATCH(DL$35,$BC$35:$BP$35,0))/INDEX(고양시_재차인원!$K$4:$O$20,MATCH("경기도",고양시_재차인원!$K$4:$K$20,0),MATCH(DL$35,고양시_재차인원!$K$4:$O$4,0))</f>
        <v>3.0663421659873461E-5</v>
      </c>
      <c r="DM42" s="267">
        <f>INDEX($BC$34:$BP$42,MATCH($CW42,$L$34:$L$42,0),MATCH(DM$35,$BC$35:$BP$35,0))/INDEX(고양시_재차인원!$D$4:$H$35,MATCH("고양시",고양시_재차인원!$B$4:$B$35,0),MATCH($DJ$34,고양시_재차인원!$D$4:$H$4,0))</f>
        <v>7.0515650839902304E-4</v>
      </c>
      <c r="DN42" s="267">
        <f>INDEX($BQ$34:$CD$42,MATCH($CW42,$L$34:$L$42,0),MATCH(DN$35,$BQ$35:$CD$35,0))/INDEX(고양시_재차인원!$D$4:$H$35,MATCH("고양시",고양시_재차인원!$B$4:$B$35,0),MATCH($DN$34,고양시_재차인원!$D$4:$H$4,0))</f>
        <v>3.3583007675502652E-2</v>
      </c>
      <c r="DO42" s="267">
        <f>INDEX($BQ$34:$CD$42,MATCH($CW42,$L$34:$L$42,0),MATCH(DO$35,$BQ$35:$CD$35,0))/INDEX(고양시_재차인원!$K$4:$O$20,MATCH("경기도",고양시_재차인원!$K$4:$K$20,0),MATCH(DO$35,고양시_재차인원!$K$4:$O$4,0))</f>
        <v>3.1251688742077117E-7</v>
      </c>
      <c r="DP42" s="267">
        <f>INDEX($BQ$34:$CD$42,MATCH($CW42,$L$34:$L$42,0),MATCH(DP$35,$BQ$35:$CD$35,0))/INDEX(고양시_재차인원!$K$4:$O$20,MATCH("경기도",고양시_재차인원!$K$4:$K$20,0),MATCH(DP$35,고양시_재차인원!$K$4:$O$4,0))</f>
        <v>8.6879694702974379E-5</v>
      </c>
      <c r="DQ42" s="267">
        <f>INDEX($BQ$34:$CD$42,MATCH($CW42,$L$34:$L$42,0),MATCH(DQ$35,$BQ$35:$CD$35,0))/INDEX(고양시_재차인원!$D$4:$H$35,MATCH("고양시",고양시_재차인원!$B$4:$B$35,0),MATCH($DN$34,고양시_재차인원!$D$4:$H$4,0))</f>
        <v>2.1565103801832446E-3</v>
      </c>
      <c r="DR42" s="270">
        <f t="shared" si="14"/>
        <v>106.66210273845078</v>
      </c>
      <c r="DS42" s="270">
        <f t="shared" si="8"/>
        <v>1.0767034022229943E-3</v>
      </c>
      <c r="DT42" s="270">
        <f t="shared" si="8"/>
        <v>0.29932354581799242</v>
      </c>
      <c r="DU42" s="270">
        <f t="shared" si="8"/>
        <v>6.8492356000451071</v>
      </c>
      <c r="DW42" s="278"/>
      <c r="DX42" s="278" t="s">
        <v>723</v>
      </c>
      <c r="DY42" s="281">
        <f t="shared" si="15"/>
        <v>113.51133833849589</v>
      </c>
      <c r="DZ42" s="281">
        <f t="shared" si="16"/>
        <v>0.30040024922021541</v>
      </c>
      <c r="EB42" s="278"/>
      <c r="EC42" s="278" t="s">
        <v>301</v>
      </c>
      <c r="ED42" s="281">
        <f t="shared" si="17"/>
        <v>113.51133833849589</v>
      </c>
      <c r="EE42" s="281">
        <f t="shared" si="9"/>
        <v>0.30040024922021541</v>
      </c>
    </row>
    <row r="43" spans="1:157">
      <c r="I43" s="56"/>
      <c r="J43" s="56"/>
      <c r="Z43">
        <f>Z42/H42</f>
        <v>0.10959629158521045</v>
      </c>
      <c r="DW43" s="278"/>
      <c r="DX43" s="278" t="s">
        <v>26</v>
      </c>
      <c r="DY43" s="281">
        <f>SUM(DY36:DY42)</f>
        <v>827.87602761543008</v>
      </c>
      <c r="DZ43" s="281">
        <f>SUM(DZ36:DZ42)</f>
        <v>2.1909191509794379</v>
      </c>
      <c r="EC43" s="278" t="s">
        <v>26</v>
      </c>
      <c r="ED43" s="281">
        <f>DY43</f>
        <v>827.87602761543008</v>
      </c>
      <c r="EE43" s="281">
        <f>DZ43</f>
        <v>2.1909191509794379</v>
      </c>
    </row>
    <row r="44" spans="1:157">
      <c r="A44" s="205"/>
      <c r="B44" s="205"/>
      <c r="C44" s="201"/>
      <c r="D44" s="201"/>
      <c r="E44" s="201"/>
      <c r="F44" s="201"/>
      <c r="G44" s="201"/>
      <c r="H44" s="201"/>
      <c r="I44" s="56"/>
      <c r="J44" s="56"/>
      <c r="ED44" s="230">
        <f>SUM(ED36:ED42)-ED43</f>
        <v>0</v>
      </c>
      <c r="EE44" s="230" t="b">
        <f>SUM(EE36:EE42)=EE43</f>
        <v>1</v>
      </c>
    </row>
    <row r="45" spans="1:157">
      <c r="A45" s="205"/>
      <c r="B45" s="205"/>
      <c r="C45" s="201"/>
      <c r="D45" s="201"/>
      <c r="E45" s="201"/>
      <c r="F45" s="201"/>
      <c r="G45" s="201"/>
      <c r="H45" s="201"/>
      <c r="I45" s="56"/>
      <c r="J45" s="56"/>
    </row>
    <row r="46" spans="1:157">
      <c r="A46" s="205"/>
      <c r="B46" s="205"/>
      <c r="C46" s="201"/>
      <c r="D46" s="201"/>
      <c r="E46" s="201"/>
      <c r="F46" s="201"/>
      <c r="G46" s="201"/>
      <c r="H46" s="201"/>
      <c r="I46" s="56"/>
      <c r="J46" s="56"/>
    </row>
    <row r="47" spans="1:157">
      <c r="A47" s="205"/>
      <c r="B47" s="205"/>
      <c r="C47" s="201"/>
      <c r="D47" s="201"/>
      <c r="E47" s="201"/>
      <c r="F47" s="201"/>
      <c r="G47" s="201"/>
      <c r="H47" s="201"/>
      <c r="I47" s="56"/>
      <c r="J47" s="56"/>
    </row>
    <row r="48" spans="1:157">
      <c r="A48" s="205"/>
      <c r="B48" s="205"/>
      <c r="C48" s="201"/>
      <c r="D48" s="201"/>
      <c r="E48" s="201"/>
      <c r="F48" s="201"/>
      <c r="G48" s="201"/>
      <c r="H48" s="352">
        <f>SUM(H36:H47)</f>
        <v>2260.8086866200001</v>
      </c>
      <c r="I48" s="97" t="b">
        <f>H48=SUM(D8,D9,D10,D14,D15,D16,D17)  * (1+KTDB_발생량도착량_증가율!$C$8)</f>
        <v>1</v>
      </c>
      <c r="J48" s="230">
        <f>CR48</f>
        <v>0</v>
      </c>
    </row>
    <row r="72" spans="1:164">
      <c r="FA72" s="277"/>
    </row>
    <row r="73" spans="1:164">
      <c r="FA73" s="277"/>
    </row>
    <row r="74" spans="1:164">
      <c r="FA74" s="277"/>
    </row>
    <row r="75" spans="1:164" s="227" customFormat="1" ht="19.5">
      <c r="A75" s="329">
        <v>2025</v>
      </c>
      <c r="B75" s="282"/>
      <c r="C75" s="283"/>
      <c r="D75" s="284"/>
      <c r="E75" s="284"/>
      <c r="F75" s="284"/>
      <c r="G75" s="284"/>
      <c r="H75" s="284"/>
      <c r="I75" s="284"/>
      <c r="K75" s="282"/>
      <c r="L75" s="282"/>
      <c r="M75" s="283"/>
      <c r="N75" s="284"/>
      <c r="O75" s="284"/>
      <c r="P75" s="284"/>
      <c r="Q75" s="284"/>
      <c r="R75" s="284"/>
      <c r="S75" s="284"/>
    </row>
    <row r="76" spans="1:164" ht="23.5" thickBot="1">
      <c r="A76" s="32" t="s">
        <v>642</v>
      </c>
      <c r="C76" t="s">
        <v>464</v>
      </c>
      <c r="D76" t="s">
        <v>468</v>
      </c>
      <c r="E76" t="s">
        <v>471</v>
      </c>
      <c r="F76" t="s">
        <v>466</v>
      </c>
      <c r="G76" t="s">
        <v>467</v>
      </c>
      <c r="H76" t="s">
        <v>21</v>
      </c>
      <c r="K76" s="32" t="s">
        <v>472</v>
      </c>
      <c r="CV76" s="32" t="s">
        <v>493</v>
      </c>
      <c r="CY76" t="s">
        <v>479</v>
      </c>
      <c r="CZ76" t="s">
        <v>480</v>
      </c>
      <c r="EL76" s="353" t="s">
        <v>854</v>
      </c>
      <c r="EU76" s="353" t="s">
        <v>746</v>
      </c>
    </row>
    <row r="77" spans="1:164">
      <c r="A77" t="s">
        <v>463</v>
      </c>
      <c r="C77" t="s">
        <v>427</v>
      </c>
      <c r="D77" t="s">
        <v>428</v>
      </c>
      <c r="E77" t="s">
        <v>429</v>
      </c>
      <c r="F77" t="s">
        <v>430</v>
      </c>
      <c r="G77" t="s">
        <v>431</v>
      </c>
      <c r="H77" t="s">
        <v>457</v>
      </c>
      <c r="K77" s="159" t="s">
        <v>483</v>
      </c>
      <c r="L77" s="159"/>
      <c r="M77" s="441" t="s">
        <v>464</v>
      </c>
      <c r="N77" s="442"/>
      <c r="O77" s="442"/>
      <c r="P77" s="442"/>
      <c r="Q77" s="442"/>
      <c r="R77" s="442"/>
      <c r="S77" s="442"/>
      <c r="T77" s="442"/>
      <c r="U77" s="442"/>
      <c r="V77" s="442"/>
      <c r="W77" s="442"/>
      <c r="X77" s="442"/>
      <c r="Y77" s="442"/>
      <c r="Z77" s="443"/>
      <c r="AA77" s="441" t="s">
        <v>468</v>
      </c>
      <c r="AB77" s="442"/>
      <c r="AC77" s="442"/>
      <c r="AD77" s="442"/>
      <c r="AE77" s="442"/>
      <c r="AF77" s="442"/>
      <c r="AG77" s="442"/>
      <c r="AH77" s="442"/>
      <c r="AI77" s="442"/>
      <c r="AJ77" s="442"/>
      <c r="AK77" s="442"/>
      <c r="AL77" s="442"/>
      <c r="AM77" s="442"/>
      <c r="AN77" s="443"/>
      <c r="AO77" s="441" t="s">
        <v>465</v>
      </c>
      <c r="AP77" s="442"/>
      <c r="AQ77" s="442"/>
      <c r="AR77" s="442"/>
      <c r="AS77" s="442"/>
      <c r="AT77" s="442"/>
      <c r="AU77" s="442"/>
      <c r="AV77" s="442"/>
      <c r="AW77" s="442"/>
      <c r="AX77" s="442"/>
      <c r="AY77" s="442"/>
      <c r="AZ77" s="442"/>
      <c r="BA77" s="442"/>
      <c r="BB77" s="443"/>
      <c r="BC77" s="441" t="s">
        <v>466</v>
      </c>
      <c r="BD77" s="442"/>
      <c r="BE77" s="442"/>
      <c r="BF77" s="442"/>
      <c r="BG77" s="442"/>
      <c r="BH77" s="442"/>
      <c r="BI77" s="442"/>
      <c r="BJ77" s="442"/>
      <c r="BK77" s="442"/>
      <c r="BL77" s="442"/>
      <c r="BM77" s="442"/>
      <c r="BN77" s="442"/>
      <c r="BO77" s="442"/>
      <c r="BP77" s="443"/>
      <c r="BQ77" s="441" t="s">
        <v>467</v>
      </c>
      <c r="BR77" s="442"/>
      <c r="BS77" s="442"/>
      <c r="BT77" s="442"/>
      <c r="BU77" s="442"/>
      <c r="BV77" s="442"/>
      <c r="BW77" s="442"/>
      <c r="BX77" s="442"/>
      <c r="BY77" s="442"/>
      <c r="BZ77" s="442"/>
      <c r="CA77" s="442"/>
      <c r="CB77" s="442"/>
      <c r="CC77" s="442"/>
      <c r="CD77" s="443"/>
      <c r="CE77" s="441" t="s">
        <v>21</v>
      </c>
      <c r="CF77" s="442"/>
      <c r="CG77" s="442"/>
      <c r="CH77" s="442"/>
      <c r="CI77" s="442"/>
      <c r="CJ77" s="442"/>
      <c r="CK77" s="442"/>
      <c r="CL77" s="442"/>
      <c r="CM77" s="442"/>
      <c r="CN77" s="442"/>
      <c r="CO77" s="442"/>
      <c r="CP77" s="442"/>
      <c r="CQ77" s="442"/>
      <c r="CR77" s="443"/>
      <c r="CV77" s="263" t="s">
        <v>483</v>
      </c>
      <c r="CW77" s="263"/>
      <c r="CX77" s="445" t="s">
        <v>555</v>
      </c>
      <c r="CY77" s="439"/>
      <c r="CZ77" s="439"/>
      <c r="DA77" s="446"/>
      <c r="DB77" s="438" t="s">
        <v>554</v>
      </c>
      <c r="DC77" s="439"/>
      <c r="DD77" s="439"/>
      <c r="DE77" s="446"/>
      <c r="DF77" s="438" t="s">
        <v>465</v>
      </c>
      <c r="DG77" s="439"/>
      <c r="DH77" s="439"/>
      <c r="DI77" s="446"/>
      <c r="DJ77" s="438" t="s">
        <v>466</v>
      </c>
      <c r="DK77" s="439"/>
      <c r="DL77" s="439"/>
      <c r="DM77" s="446"/>
      <c r="DN77" s="438" t="s">
        <v>467</v>
      </c>
      <c r="DO77" s="439"/>
      <c r="DP77" s="439"/>
      <c r="DQ77" s="446"/>
      <c r="DR77" s="438" t="s">
        <v>21</v>
      </c>
      <c r="DS77" s="439"/>
      <c r="DT77" s="439"/>
      <c r="DU77" s="440"/>
      <c r="DW77" s="278"/>
      <c r="DX77" s="278"/>
      <c r="DY77" s="444" t="s">
        <v>589</v>
      </c>
      <c r="DZ77" s="444"/>
      <c r="EB77" s="278"/>
      <c r="EC77" s="278"/>
      <c r="ED77" s="444" t="s">
        <v>589</v>
      </c>
      <c r="EE77" s="444"/>
      <c r="EI77" t="s">
        <v>600</v>
      </c>
    </row>
    <row r="78" spans="1:164">
      <c r="A78" s="199"/>
      <c r="B78" s="199"/>
      <c r="C78" s="202" t="s">
        <v>464</v>
      </c>
      <c r="D78" s="202" t="s">
        <v>468</v>
      </c>
      <c r="E78" s="202" t="s">
        <v>465</v>
      </c>
      <c r="F78" s="202" t="s">
        <v>466</v>
      </c>
      <c r="G78" s="202" t="s">
        <v>559</v>
      </c>
      <c r="H78" s="202" t="s">
        <v>21</v>
      </c>
      <c r="K78" s="159"/>
      <c r="L78" s="159"/>
      <c r="M78" s="211" t="s">
        <v>473</v>
      </c>
      <c r="N78" s="160" t="s">
        <v>156</v>
      </c>
      <c r="O78" s="160" t="s">
        <v>476</v>
      </c>
      <c r="P78" s="160" t="s">
        <v>477</v>
      </c>
      <c r="Q78" s="160" t="s">
        <v>478</v>
      </c>
      <c r="R78" s="160" t="s">
        <v>479</v>
      </c>
      <c r="S78" s="160" t="s">
        <v>480</v>
      </c>
      <c r="T78" s="160" t="s">
        <v>481</v>
      </c>
      <c r="U78" s="160" t="s">
        <v>449</v>
      </c>
      <c r="V78" s="160" t="s">
        <v>157</v>
      </c>
      <c r="W78" s="160" t="s">
        <v>474</v>
      </c>
      <c r="X78" s="160" t="s">
        <v>475</v>
      </c>
      <c r="Y78" s="160" t="s">
        <v>46</v>
      </c>
      <c r="Z78" s="212" t="s">
        <v>11</v>
      </c>
      <c r="AA78" s="211" t="s">
        <v>473</v>
      </c>
      <c r="AB78" s="160" t="s">
        <v>156</v>
      </c>
      <c r="AC78" s="160" t="s">
        <v>476</v>
      </c>
      <c r="AD78" s="160" t="s">
        <v>477</v>
      </c>
      <c r="AE78" s="160" t="s">
        <v>478</v>
      </c>
      <c r="AF78" s="160" t="s">
        <v>479</v>
      </c>
      <c r="AG78" s="160" t="s">
        <v>480</v>
      </c>
      <c r="AH78" s="160" t="s">
        <v>481</v>
      </c>
      <c r="AI78" s="160" t="s">
        <v>449</v>
      </c>
      <c r="AJ78" s="160" t="s">
        <v>157</v>
      </c>
      <c r="AK78" s="160" t="s">
        <v>474</v>
      </c>
      <c r="AL78" s="160" t="s">
        <v>475</v>
      </c>
      <c r="AM78" s="160" t="s">
        <v>46</v>
      </c>
      <c r="AN78" s="212" t="s">
        <v>11</v>
      </c>
      <c r="AO78" s="211" t="s">
        <v>473</v>
      </c>
      <c r="AP78" s="160" t="s">
        <v>156</v>
      </c>
      <c r="AQ78" s="160" t="s">
        <v>476</v>
      </c>
      <c r="AR78" s="160" t="s">
        <v>477</v>
      </c>
      <c r="AS78" s="160" t="s">
        <v>478</v>
      </c>
      <c r="AT78" s="160" t="s">
        <v>479</v>
      </c>
      <c r="AU78" s="160" t="s">
        <v>480</v>
      </c>
      <c r="AV78" s="160" t="s">
        <v>481</v>
      </c>
      <c r="AW78" s="160" t="s">
        <v>449</v>
      </c>
      <c r="AX78" s="160" t="s">
        <v>157</v>
      </c>
      <c r="AY78" s="160" t="s">
        <v>474</v>
      </c>
      <c r="AZ78" s="160" t="s">
        <v>475</v>
      </c>
      <c r="BA78" s="160" t="s">
        <v>46</v>
      </c>
      <c r="BB78" s="212" t="s">
        <v>11</v>
      </c>
      <c r="BC78" s="211" t="s">
        <v>473</v>
      </c>
      <c r="BD78" s="160" t="s">
        <v>156</v>
      </c>
      <c r="BE78" s="160" t="s">
        <v>476</v>
      </c>
      <c r="BF78" s="160" t="s">
        <v>477</v>
      </c>
      <c r="BG78" s="160" t="s">
        <v>478</v>
      </c>
      <c r="BH78" s="160" t="s">
        <v>479</v>
      </c>
      <c r="BI78" s="160" t="s">
        <v>480</v>
      </c>
      <c r="BJ78" s="160" t="s">
        <v>481</v>
      </c>
      <c r="BK78" s="160" t="s">
        <v>449</v>
      </c>
      <c r="BL78" s="160" t="s">
        <v>157</v>
      </c>
      <c r="BM78" s="160" t="s">
        <v>474</v>
      </c>
      <c r="BN78" s="160" t="s">
        <v>475</v>
      </c>
      <c r="BO78" s="160" t="s">
        <v>46</v>
      </c>
      <c r="BP78" s="212" t="s">
        <v>11</v>
      </c>
      <c r="BQ78" s="211" t="s">
        <v>473</v>
      </c>
      <c r="BR78" s="160" t="s">
        <v>156</v>
      </c>
      <c r="BS78" s="160" t="s">
        <v>476</v>
      </c>
      <c r="BT78" s="160" t="s">
        <v>477</v>
      </c>
      <c r="BU78" s="160" t="s">
        <v>478</v>
      </c>
      <c r="BV78" s="160" t="s">
        <v>479</v>
      </c>
      <c r="BW78" s="160" t="s">
        <v>480</v>
      </c>
      <c r="BX78" s="160" t="s">
        <v>481</v>
      </c>
      <c r="BY78" s="160" t="s">
        <v>449</v>
      </c>
      <c r="BZ78" s="160" t="s">
        <v>157</v>
      </c>
      <c r="CA78" s="160" t="s">
        <v>474</v>
      </c>
      <c r="CB78" s="160" t="s">
        <v>475</v>
      </c>
      <c r="CC78" s="160" t="s">
        <v>46</v>
      </c>
      <c r="CD78" s="212" t="s">
        <v>11</v>
      </c>
      <c r="CE78" s="211" t="s">
        <v>473</v>
      </c>
      <c r="CF78" s="160" t="s">
        <v>156</v>
      </c>
      <c r="CG78" s="160" t="s">
        <v>476</v>
      </c>
      <c r="CH78" s="160" t="s">
        <v>477</v>
      </c>
      <c r="CI78" s="160" t="s">
        <v>478</v>
      </c>
      <c r="CJ78" s="160" t="s">
        <v>479</v>
      </c>
      <c r="CK78" s="160" t="s">
        <v>480</v>
      </c>
      <c r="CL78" s="160" t="s">
        <v>481</v>
      </c>
      <c r="CM78" s="160" t="s">
        <v>449</v>
      </c>
      <c r="CN78" s="160" t="s">
        <v>157</v>
      </c>
      <c r="CO78" s="160" t="s">
        <v>474</v>
      </c>
      <c r="CP78" s="160" t="s">
        <v>475</v>
      </c>
      <c r="CQ78" s="160" t="s">
        <v>46</v>
      </c>
      <c r="CR78" s="212" t="s">
        <v>11</v>
      </c>
      <c r="CV78" s="263"/>
      <c r="CW78" s="263"/>
      <c r="CX78" s="264" t="s">
        <v>156</v>
      </c>
      <c r="CY78" s="264" t="s">
        <v>479</v>
      </c>
      <c r="CZ78" s="264" t="s">
        <v>480</v>
      </c>
      <c r="DA78" s="264" t="s">
        <v>157</v>
      </c>
      <c r="DB78" s="264" t="s">
        <v>156</v>
      </c>
      <c r="DC78" s="264" t="s">
        <v>479</v>
      </c>
      <c r="DD78" s="264" t="s">
        <v>480</v>
      </c>
      <c r="DE78" s="264" t="s">
        <v>157</v>
      </c>
      <c r="DF78" s="264" t="s">
        <v>156</v>
      </c>
      <c r="DG78" s="264" t="s">
        <v>479</v>
      </c>
      <c r="DH78" s="264" t="s">
        <v>480</v>
      </c>
      <c r="DI78" s="264" t="s">
        <v>157</v>
      </c>
      <c r="DJ78" s="264" t="s">
        <v>156</v>
      </c>
      <c r="DK78" s="264" t="s">
        <v>479</v>
      </c>
      <c r="DL78" s="264" t="s">
        <v>480</v>
      </c>
      <c r="DM78" s="264" t="s">
        <v>157</v>
      </c>
      <c r="DN78" s="264" t="s">
        <v>156</v>
      </c>
      <c r="DO78" s="264" t="s">
        <v>479</v>
      </c>
      <c r="DP78" s="264" t="s">
        <v>480</v>
      </c>
      <c r="DQ78" s="264" t="s">
        <v>157</v>
      </c>
      <c r="DR78" s="264" t="s">
        <v>156</v>
      </c>
      <c r="DS78" s="264" t="s">
        <v>479</v>
      </c>
      <c r="DT78" s="264" t="s">
        <v>480</v>
      </c>
      <c r="DU78" s="264" t="s">
        <v>157</v>
      </c>
      <c r="DW78" s="278"/>
      <c r="DX78" s="278"/>
      <c r="DY78" s="280" t="s">
        <v>586</v>
      </c>
      <c r="DZ78" s="280" t="s">
        <v>259</v>
      </c>
      <c r="EB78" s="278"/>
      <c r="EC78" s="278"/>
      <c r="ED78" s="280" t="s">
        <v>586</v>
      </c>
      <c r="EE78" s="280" t="s">
        <v>259</v>
      </c>
      <c r="EL78" s="420" t="s">
        <v>565</v>
      </c>
      <c r="EM78" s="420" t="s">
        <v>566</v>
      </c>
      <c r="EN78" s="420" t="s">
        <v>567</v>
      </c>
      <c r="EO78" s="420" t="s">
        <v>563</v>
      </c>
      <c r="EP78" s="421" t="s">
        <v>598</v>
      </c>
      <c r="EQ78" s="421" t="s">
        <v>586</v>
      </c>
      <c r="ER78" s="421" t="s">
        <v>259</v>
      </c>
      <c r="ES78" s="424" t="s">
        <v>868</v>
      </c>
      <c r="EU78" s="306" t="s">
        <v>565</v>
      </c>
      <c r="EV78" s="306" t="s">
        <v>566</v>
      </c>
      <c r="EW78" s="306" t="s">
        <v>567</v>
      </c>
      <c r="EX78" s="306" t="s">
        <v>563</v>
      </c>
      <c r="EY78" s="307" t="s">
        <v>598</v>
      </c>
      <c r="EZ78" s="307" t="s">
        <v>586</v>
      </c>
      <c r="FA78" s="307" t="s">
        <v>259</v>
      </c>
    </row>
    <row r="79" spans="1:164" ht="37.5">
      <c r="A79" s="205"/>
      <c r="B79" s="205" t="s">
        <v>711</v>
      </c>
      <c r="C79" s="400">
        <f>$D8*KTDB_TripDistribution_2025!T$12 * (1+KTDB_발생량도착량_증가율!$C$7)</f>
        <v>51.451908061268611</v>
      </c>
      <c r="D79" s="400">
        <f>$D8*KTDB_TripDistribution_2025!U$12 * (1+KTDB_발생량도착량_증가율!$C$7)</f>
        <v>372.36798475833342</v>
      </c>
      <c r="E79" s="400">
        <f>$D8*KTDB_TripDistribution_2025!V$12 * (1+KTDB_발생량도착량_증가율!$C$7)</f>
        <v>21.361829597425334</v>
      </c>
      <c r="F79" s="400">
        <f>$D8*KTDB_TripDistribution_2025!W$12 * (1+KTDB_발생량도착량_증가율!$C$7)</f>
        <v>3.3570187947761065E-2</v>
      </c>
      <c r="G79" s="400">
        <f>$D8*KTDB_TripDistribution_2025!X$12 * (1+KTDB_발생량도착량_증가율!$C$7)</f>
        <v>0.1268207100248756</v>
      </c>
      <c r="H79" s="400">
        <f>$D8*KTDB_TripDistribution_2025!Y$12 * (1+KTDB_발생량도착량_증가율!$C$7)</f>
        <v>445.34211331500018</v>
      </c>
      <c r="J79" s="230">
        <f t="shared" ref="J79:J83" si="18">CR79</f>
        <v>445.34211331500006</v>
      </c>
      <c r="K79" s="206"/>
      <c r="L79" s="206" t="s">
        <v>711</v>
      </c>
      <c r="M79" s="206">
        <f>INDEX($A$78:$H$85,MATCH($L79,$B$78:$B$85,0),MATCH($M$77,$A$78:$H$78,0))*고양시_Modal_split!C$3 * 0.01</f>
        <v>0.1440653425715521</v>
      </c>
      <c r="N79" s="206">
        <f>INDEX($A$78:$H$85,MATCH($L79,$B$78:$B$85,0),MATCH($M$77,$A$78:$H$78,0))*고양시_Modal_split!D$3 * 0.01</f>
        <v>24.19783236121463</v>
      </c>
      <c r="O79" s="206">
        <f>INDEX($A$78:$H$85,MATCH($L79,$B$78:$B$85,0),MATCH($M$77,$A$78:$H$78,0))*고양시_Modal_split!E$3 * 0.01</f>
        <v>2.9276135686861835</v>
      </c>
      <c r="P79" s="206">
        <f>INDEX($A$78:$H$85,MATCH($L79,$B$78:$B$85,0),MATCH($M$77,$A$78:$H$78,0))*고양시_Modal_split!F$3 * 0.01</f>
        <v>4.7181399692183321</v>
      </c>
      <c r="Q79" s="206">
        <f>INDEX($A$78:$H$85,MATCH($L79,$B$78:$B$85,0),MATCH($M$77,$A$78:$H$78,0))*고양시_Modal_split!G$3 * 0.01</f>
        <v>0.4733575541636712</v>
      </c>
      <c r="R79" s="206">
        <f>INDEX($A$78:$H$85,MATCH($L79,$B$78:$B$85,0),MATCH($M$77,$A$78:$H$78,0))*고양시_Modal_split!H$3 * 0.01</f>
        <v>5.1451908061268615E-3</v>
      </c>
      <c r="S79" s="206">
        <f>INDEX($A$78:$H$85,MATCH($L79,$B$78:$B$85,0),MATCH($M$77,$A$78:$H$78,0))*고양시_Modal_split!I$3 * 0.01</f>
        <v>1.4303630441032673</v>
      </c>
      <c r="T79" s="206">
        <f>INDEX($A$78:$H$85,MATCH($L79,$B$78:$B$85,0),MATCH($M$77,$A$78:$H$78,0))*고양시_Modal_split!J$3 * 0.01</f>
        <v>15.661960813850166</v>
      </c>
      <c r="U79" s="206">
        <f>INDEX($A$78:$H$85,MATCH($L79,$B$78:$B$85,0),MATCH($M$77,$A$78:$H$78,0))*고양시_Modal_split!K$3 * 0.01</f>
        <v>7.7177862091902916E-2</v>
      </c>
      <c r="V79" s="206">
        <f>INDEX($A$78:$H$85,MATCH($L79,$B$78:$B$85,0),MATCH($M$77,$A$78:$H$78,0))*고양시_Modal_split!L$3 * 0.01</f>
        <v>1.5538476234503122</v>
      </c>
      <c r="W79" s="206">
        <f>INDEX($A$78:$H$85,MATCH($L79,$B$78:$B$85,0),MATCH($M$77,$A$78:$H$78,0))*고양시_Modal_split!M$3 * 0.01</f>
        <v>0.1183393885409178</v>
      </c>
      <c r="X79" s="206">
        <f>INDEX($A$78:$H$85,MATCH($L79,$B$78:$B$85,0),MATCH($M$77,$A$78:$H$78,0))*고양시_Modal_split!N$3 * 0.01</f>
        <v>5.145190806126862E-2</v>
      </c>
      <c r="Y79" s="206">
        <f>INDEX($A$78:$H$85,MATCH($L79,$B$78:$B$85,0),MATCH($M$77,$A$78:$H$78,0))*고양시_Modal_split!O$3 * 0.01</f>
        <v>9.261343451028349E-2</v>
      </c>
      <c r="Z79" s="209">
        <f>INDEX($A$78:$H$85,MATCH($L79,$B$78:$B$85,0),MATCH($M$77,$A$78:$H$78,0))*고양시_Modal_split!P$3 * 0.01</f>
        <v>51.451908061268618</v>
      </c>
      <c r="AA79" s="207">
        <f>INDEX($A$78:$H$85,MATCH($L79,$B$78:$B$85,0),MATCH($AA$77,$A$78:$H$78,0))*고양시_Modal_split!C$3 * 0.01</f>
        <v>1.0426303573233335</v>
      </c>
      <c r="AB79" s="207">
        <f>INDEX($A$78:$H$85,MATCH($L79,$B$78:$B$85,0),MATCH($AA$77,$A$78:$H$78,0))*고양시_Modal_split!D$3 * 0.01</f>
        <v>175.12466323184421</v>
      </c>
      <c r="AC79" s="207">
        <f>INDEX($A$78:$H$85,MATCH($L79,$B$78:$B$85,0),MATCH($AA$77,$A$78:$H$78,0))*고양시_Modal_split!E$3 * 0.01</f>
        <v>21.18773833274917</v>
      </c>
      <c r="AD79" s="207">
        <f>INDEX($A$78:$H$85,MATCH($L79,$B$78:$B$85,0),MATCH($AA$77,$A$78:$H$78,0))*고양시_Modal_split!F$3 * 0.01</f>
        <v>34.146144202339173</v>
      </c>
      <c r="AE79" s="207">
        <f>INDEX($A$78:$H$85,MATCH($L79,$B$78:$B$85,0),MATCH($AA$77,$A$78:$H$78,0))*고양시_Modal_split!G$3 * 0.01</f>
        <v>3.4257854597766668</v>
      </c>
      <c r="AF79" s="207">
        <f>INDEX($A$78:$H$85,MATCH($L79,$B$78:$B$85,0),MATCH($AA$77,$A$78:$H$78,0))*고양시_Modal_split!H$3 * 0.01</f>
        <v>3.7236798475833346E-2</v>
      </c>
      <c r="AG79" s="207">
        <f>INDEX($A$78:$H$85,MATCH($L79,$B$78:$B$85,0),MATCH($AA$77,$A$78:$H$78,0))*고양시_Modal_split!I$3 * 0.01</f>
        <v>10.351829976281667</v>
      </c>
      <c r="AH79" s="207">
        <f>INDEX($A$78:$H$85,MATCH($L79,$B$78:$B$85,0),MATCH($AA$77,$A$78:$H$78,0))*고양시_Modal_split!J$3 * 0.01</f>
        <v>113.34881456043669</v>
      </c>
      <c r="AI79" s="207">
        <f>INDEX($A$78:$H$85,MATCH($L79,$B$78:$B$85,0),MATCH($AA$77,$A$78:$H$78,0))*고양시_Modal_split!K$3 * 0.01</f>
        <v>0.55855197713750016</v>
      </c>
      <c r="AJ79" s="207">
        <f>INDEX($A$78:$H$85,MATCH($L79,$B$78:$B$85,0),MATCH($AA$77,$A$78:$H$78,0))*고양시_Modal_split!L$3 * 0.01</f>
        <v>11.24551313970167</v>
      </c>
      <c r="AK79" s="207">
        <f>INDEX($A$78:$H$85,MATCH($L79,$B$78:$B$85,0),MATCH($AA$77,$A$78:$H$78,0))*고양시_Modal_split!M$3 * 0.01</f>
        <v>0.8564463649441667</v>
      </c>
      <c r="AL79" s="207">
        <f>INDEX($A$78:$H$85,MATCH($L79,$B$78:$B$85,0),MATCH($AA$77,$A$78:$H$78,0))*고양시_Modal_split!N$3 * 0.01</f>
        <v>0.37236798475833349</v>
      </c>
      <c r="AM79" s="207">
        <f>INDEX($A$78:$H$85,MATCH($L79,$B$78:$B$85,0),MATCH($AA$77,$A$78:$H$78,0))*고양시_Modal_split!O$3 * 0.01</f>
        <v>0.6702623725650001</v>
      </c>
      <c r="AN79" s="207">
        <f>INDEX($A$78:$H$85,MATCH($L79,$B$78:$B$85,0),MATCH($AA$77,$A$78:$H$78,0))*고양시_Modal_split!P$3 * 0.01</f>
        <v>372.36798475833342</v>
      </c>
      <c r="AO79" s="303">
        <f>INDEX($A$78:$H$85,MATCH($L36,$B$78:$B$85,0),MATCH($AO$77,$A$78:$H$78,0))*고양시_Modal_split!C$3 * 0.01</f>
        <v>5.9813122872790933E-2</v>
      </c>
      <c r="AP79" s="303">
        <f>INDEX($A$78:$H$85,MATCH($L36,$B$78:$B$85,0),MATCH($AO$77,$A$78:$H$78,0))*고양시_Modal_split!D$3 * 0.01</f>
        <v>10.046468459669136</v>
      </c>
      <c r="AQ79" s="303">
        <f>INDEX($A$78:$H$85,MATCH($L36,$B$78:$B$85,0),MATCH($AO$77,$A$78:$H$78,0))*고양시_Modal_split!E$3 * 0.01</f>
        <v>1.2154881040935015</v>
      </c>
      <c r="AR79" s="303">
        <f>INDEX($A$78:$H$85,MATCH($L36,$B$78:$B$85,0),MATCH($AO$77,$A$78:$H$78,0))*고양시_Modal_split!F$3 * 0.01</f>
        <v>1.9588797740839032</v>
      </c>
      <c r="AS79" s="303">
        <f>INDEX($A$78:$H$85,MATCH($L36,$B$78:$B$85,0),MATCH($AO$77,$A$78:$H$78,0))*고양시_Modal_split!G$3 * 0.01</f>
        <v>0.19652883229631307</v>
      </c>
      <c r="AT79" s="303">
        <f>INDEX($A$78:$H$85,MATCH($L36,$B$78:$B$85,0),MATCH($AO$77,$A$78:$H$78,0))*고양시_Modal_split!H$3 * 0.01</f>
        <v>2.1361829597425336E-3</v>
      </c>
      <c r="AU79" s="303">
        <f>INDEX($A$78:$H$85,MATCH($L36,$B$78:$B$85,0),MATCH($AO$77,$A$78:$H$78,0))*고양시_Modal_split!I$3 * 0.01</f>
        <v>0.59385886280842426</v>
      </c>
      <c r="AV79" s="303">
        <f>INDEX($A$78:$H$85,MATCH($L36,$B$78:$B$85,0),MATCH($AO$77,$A$78:$H$78,0))*고양시_Modal_split!J$3 * 0.01</f>
        <v>6.5025409294562726</v>
      </c>
      <c r="AW79" s="303">
        <f>INDEX($A$78:$H$85,MATCH($L36,$B$78:$B$85,0),MATCH($AO$77,$A$78:$H$78,0))*고양시_Modal_split!K$3 * 0.01</f>
        <v>3.2042744396138002E-2</v>
      </c>
      <c r="AX79" s="303">
        <f>INDEX($A$78:$H$85,MATCH($L36,$B$78:$B$85,0),MATCH($AO$77,$A$78:$H$78,0))*고양시_Modal_split!L$3 * 0.01</f>
        <v>0.64512725384224512</v>
      </c>
      <c r="AY79" s="303">
        <f>INDEX($A$78:$H$85,MATCH($L36,$B$78:$B$85,0),MATCH($AO$77,$A$78:$H$78,0))*고양시_Modal_split!M$3 * 0.01</f>
        <v>4.9132208074078268E-2</v>
      </c>
      <c r="AZ79" s="303">
        <f>INDEX($A$78:$H$85,MATCH($L36,$B$78:$B$85,0),MATCH($AO$77,$A$78:$H$78,0))*고양시_Modal_split!N$3 * 0.01</f>
        <v>2.1361829597425337E-2</v>
      </c>
      <c r="BA79" s="207">
        <f>INDEX($A$78:$H$85,MATCH($L36,$B$78:$B$85,0),MATCH($AO$77,$A$78:$H$78,0))*고양시_Modal_split!O$3 * 0.01</f>
        <v>3.8451293275365603E-2</v>
      </c>
      <c r="BB79" s="207">
        <f>INDEX($A$78:$H$85,MATCH($L36,$B$78:$B$85,0),MATCH($AO$77,$A$78:$H$78,0))*고양시_Modal_split!P$3 * 0.01</f>
        <v>21.361829597425334</v>
      </c>
      <c r="BC79" s="207">
        <f>INDEX($A$78:$H$85,MATCH($L79,$B$78:$B$85,0),MATCH($BC$77,$A$78:$H$78,0))*고양시_Modal_split!C$3 * 0.01</f>
        <v>9.3996526253730967E-5</v>
      </c>
      <c r="BD79" s="207">
        <f>INDEX($A$78:$H$85,MATCH($L79,$B$78:$B$85,0),MATCH($BC$77,$A$78:$H$78,0))*고양시_Modal_split!D$3 * 0.01</f>
        <v>1.5788059391832029E-2</v>
      </c>
      <c r="BE79" s="207">
        <f>INDEX($A$78:$H$85,MATCH($L79,$B$78:$B$85,0),MATCH($BC$77,$A$78:$H$78,0))*고양시_Modal_split!E$3 * 0.01</f>
        <v>1.9101436942276047E-3</v>
      </c>
      <c r="BF79" s="207">
        <f>INDEX($A$78:$H$85,MATCH($L79,$B$78:$B$85,0),MATCH($BC$77,$A$78:$H$78,0))*고양시_Modal_split!F$3 * 0.01</f>
        <v>3.0783862348096897E-3</v>
      </c>
      <c r="BG79" s="207">
        <f>INDEX($A$78:$H$85,MATCH($L79,$B$78:$B$85,0),MATCH($BC$77,$A$78:$H$78,0))*고양시_Modal_split!G$3 * 0.01</f>
        <v>3.0884572911940182E-4</v>
      </c>
      <c r="BH79" s="207">
        <f>INDEX($A$78:$H$85,MATCH($L79,$B$78:$B$85,0),MATCH($BC$77,$A$78:$H$78,0))*고양시_Modal_split!H$3 * 0.01</f>
        <v>3.3570187947761071E-6</v>
      </c>
      <c r="BI79" s="207">
        <f>INDEX($A$78:$H$85,MATCH($L79,$B$78:$B$85,0),MATCH($BC$77,$A$78:$H$78,0))*고양시_Modal_split!I$3 * 0.01</f>
        <v>9.3325122494775765E-4</v>
      </c>
      <c r="BJ79" s="207">
        <f>INDEX($A$78:$H$85,MATCH($L79,$B$78:$B$85,0),MATCH($BC$77,$A$78:$H$78,0))*고양시_Modal_split!J$3 * 0.01</f>
        <v>1.0218765211298468E-2</v>
      </c>
      <c r="BK79" s="207">
        <f>INDEX($A$78:$H$85,MATCH($L79,$B$78:$B$85,0),MATCH($BC$77,$A$78:$H$78,0))*고양시_Modal_split!K$3 * 0.01</f>
        <v>5.0355281921641598E-5</v>
      </c>
      <c r="BL79" s="207">
        <f>INDEX($A$78:$H$85,MATCH($L79,$B$78:$B$85,0),MATCH($BC$77,$A$78:$H$78,0))*고양시_Modal_split!L$3 * 0.01</f>
        <v>1.0138196760223841E-3</v>
      </c>
      <c r="BM79" s="207">
        <f>INDEX($A$78:$H$85,MATCH($L79,$B$78:$B$85,0),MATCH($BC$77,$A$78:$H$78,0))*고양시_Modal_split!M$3 * 0.01</f>
        <v>7.7211432279850455E-5</v>
      </c>
      <c r="BN79" s="207">
        <f>INDEX($A$78:$H$85,MATCH($L79,$B$78:$B$85,0),MATCH($BC$77,$A$78:$H$78,0))*고양시_Modal_split!N$3 * 0.01</f>
        <v>3.3570187947761066E-5</v>
      </c>
      <c r="BO79" s="207">
        <f>INDEX($A$78:$H$85,MATCH($L79,$B$78:$B$85,0),MATCH($BC$77,$A$78:$H$78,0))*고양시_Modal_split!O$3 * 0.01</f>
        <v>6.0426338305969922E-5</v>
      </c>
      <c r="BP79" s="207">
        <f>INDEX($A$78:$H$85,MATCH($L79,$B$78:$B$85,0),MATCH($BC$77,$A$78:$H$78,0))*고양시_Modal_split!P$3 * 0.01</f>
        <v>3.3570187947761065E-2</v>
      </c>
      <c r="BQ79" s="207">
        <f>INDEX($A$78:$H$85,MATCH($L36,$B$78:$B$85,0),MATCH($BQ$77,$A$78:$H$78,0))*고양시_Modal_split!C$3 * 0.01</f>
        <v>3.5509798806965162E-4</v>
      </c>
      <c r="BR79" s="207">
        <f>INDEX($A$78:$H$85,MATCH($L36,$B$78:$B$85,0),MATCH($BQ$77,$A$78:$H$78,0))*고양시_Modal_split!D$3 * 0.01</f>
        <v>5.9643779924698999E-2</v>
      </c>
      <c r="BS79" s="207">
        <f>INDEX($A$78:$H$85,MATCH($L36,$B$78:$B$85,0),MATCH($BQ$77,$A$78:$H$78,0))*고양시_Modal_split!E$3 * 0.01</f>
        <v>7.216098400415422E-3</v>
      </c>
      <c r="BT79" s="207">
        <f>INDEX($A$78:$H$85,MATCH($L36,$B$78:$B$85,0),MATCH($BQ$77,$A$78:$H$78,0))*고양시_Modal_split!F$3 * 0.01</f>
        <v>1.1629459109281093E-2</v>
      </c>
      <c r="BU79" s="207">
        <f>INDEX($A$78:$H$85,MATCH($L36,$B$78:$B$85,0),MATCH($BQ$77,$A$78:$H$78,0))*고양시_Modal_split!G$3 * 0.01</f>
        <v>1.1667505322288554E-3</v>
      </c>
      <c r="BV79" s="207">
        <f>INDEX($A$78:$H$85,MATCH($L36,$B$78:$B$85,0),MATCH($BQ$77,$A$78:$H$78,0))*고양시_Modal_split!H$3 * 0.01</f>
        <v>1.268207100248756E-5</v>
      </c>
      <c r="BW79" s="207">
        <f>INDEX($A$78:$H$85,MATCH($L36,$B$78:$B$85,0),MATCH($BQ$77,$A$78:$H$78,0))*고양시_Modal_split!I$3 * 0.01</f>
        <v>3.5256157386915417E-3</v>
      </c>
      <c r="BX79" s="207">
        <f>INDEX($A$78:$H$85,MATCH($L36,$B$78:$B$85,0),MATCH($BQ$77,$A$78:$H$78,0))*고양시_Modal_split!J$3 * 0.01</f>
        <v>3.8604224131572135E-2</v>
      </c>
      <c r="BY79" s="207">
        <f>INDEX($A$78:$H$85,MATCH($L36,$B$78:$B$85,0),MATCH($BQ$77,$A$78:$H$78,0))*고양시_Modal_split!K$3 * 0.01</f>
        <v>1.9023106503731339E-4</v>
      </c>
      <c r="BZ79" s="207">
        <f>INDEX($A$78:$H$85,MATCH($L36,$B$78:$B$85,0),MATCH($BQ$77,$A$78:$H$78,0))*고양시_Modal_split!L$3 * 0.01</f>
        <v>3.8299854427512434E-3</v>
      </c>
      <c r="CA79" s="207">
        <f>INDEX($A$78:$H$85,MATCH($L36,$B$78:$B$85,0),MATCH($BQ$77,$A$78:$H$78,0))*고양시_Modal_split!M$3 * 0.01</f>
        <v>2.9168763305721386E-4</v>
      </c>
      <c r="CB79" s="207">
        <f>INDEX($A$78:$H$85,MATCH($L36,$B$78:$B$85,0),MATCH($BQ$77,$A$78:$H$78,0))*고양시_Modal_split!N$3 * 0.01</f>
        <v>1.2682071002487563E-4</v>
      </c>
      <c r="CC79" s="207">
        <f>INDEX($A$78:$H$85,MATCH($L36,$B$78:$B$85,0),MATCH($BQ$77,$A$78:$H$78,0))*고양시_Modal_split!O$3 * 0.01</f>
        <v>2.282772780447761E-4</v>
      </c>
      <c r="CD79" s="207">
        <f>INDEX($A$78:$H$85,MATCH($L36,$B$78:$B$85,0),MATCH($BQ$77,$A$78:$H$78,0))*고양시_Modal_split!P$3 * 0.01</f>
        <v>0.1268207100248756</v>
      </c>
      <c r="CE79" s="304">
        <f>M79+AA79+AO79+BC79+BQ79</f>
        <v>1.2469579172819998</v>
      </c>
      <c r="CF79" s="304">
        <f t="shared" ref="CF79:CR85" si="19">N79+AB79+AP79+BD79+BR79</f>
        <v>209.44439589204453</v>
      </c>
      <c r="CG79" s="304">
        <f t="shared" si="19"/>
        <v>25.339966247623501</v>
      </c>
      <c r="CH79" s="304">
        <f t="shared" si="19"/>
        <v>40.837871790985503</v>
      </c>
      <c r="CI79" s="304">
        <f t="shared" si="19"/>
        <v>4.0971474424979997</v>
      </c>
      <c r="CJ79" s="304">
        <f t="shared" si="19"/>
        <v>4.4534211331500005E-2</v>
      </c>
      <c r="CK79" s="304">
        <f t="shared" si="19"/>
        <v>12.380510750156999</v>
      </c>
      <c r="CL79" s="304">
        <f t="shared" si="19"/>
        <v>135.56213929308601</v>
      </c>
      <c r="CM79" s="304">
        <f t="shared" si="19"/>
        <v>0.66801316997250004</v>
      </c>
      <c r="CN79" s="304">
        <f t="shared" si="19"/>
        <v>13.449331822113001</v>
      </c>
      <c r="CO79" s="304">
        <f t="shared" si="19"/>
        <v>1.0242868606244999</v>
      </c>
      <c r="CP79" s="304">
        <f t="shared" si="19"/>
        <v>0.44534211331500007</v>
      </c>
      <c r="CQ79" s="304">
        <f t="shared" si="19"/>
        <v>0.80161580396699983</v>
      </c>
      <c r="CR79" s="304">
        <f t="shared" si="19"/>
        <v>445.34211331500006</v>
      </c>
      <c r="CS79" s="305">
        <f>H79-CR79</f>
        <v>0</v>
      </c>
      <c r="CV79" s="265"/>
      <c r="CW79" s="265" t="s">
        <v>711</v>
      </c>
      <c r="CX79" s="267">
        <f>INDEX($M$77:$Z$85,MATCH($CW79,$L$77:$L$85,0),MATCH(CX$78,$M$78:$Z$78,0))/INDEX(고양시_재차인원!$D$4:$H$35,MATCH("고양시",고양시_재차인원!$B$4:$B$35,0),MATCH($CX$77,고양시_재차인원!$D$4:$H$4,0))</f>
        <v>21.605207465370203</v>
      </c>
      <c r="CY79" s="267">
        <f>INDEX($M$77:$Z$85,MATCH($CW79,$L$77:$L$85,0),MATCH(CY$78,$M$78:$Z$78,0))/INDEX(고양시_재차인원!$K$4:$O$20,MATCH("경기도",고양시_재차인원!$K$4:$K$20,0),MATCH(CY$78,고양시_재차인원!$K$4:$O$4,0))</f>
        <v>1.7871451219613968E-4</v>
      </c>
      <c r="CZ79" s="267">
        <f>INDEX($M$77:$Z$85,MATCH($CW79,$L$77:$L$85,0),MATCH(CZ$78,$M$78:$Z$78,0))/INDEX(고양시_재차인원!$K$4:$O$20,MATCH("경기도",고양시_재차인원!$K$4:$K$20,0),MATCH(CZ$78,고양시_재차인원!$K$4:$O$4,0))</f>
        <v>4.9682634390526829E-2</v>
      </c>
      <c r="DA79" s="267">
        <f>INDEX($M$77:$Z$85,MATCH($CW79,$L$77:$L$85,0),MATCH(DA$78,$M$78:$Z$78,0))/INDEX(고양시_재차인원!$D$4:$H$35,MATCH("고양시",고양시_재차인원!$B$4:$B$35,0),MATCH($CX$77,고양시_재차인원!$D$4:$H$4,0))</f>
        <v>1.3873639495092072</v>
      </c>
      <c r="DB79" s="267">
        <f>INDEX($AA$77:$AN$85,MATCH($CW79,$L$77:$L$85,0),MATCH(DB$78,$AA$78:$AN$78,0))/INDEX(고양시_재차인원!$D$4:$H$35,MATCH("고양시",고양시_재차인원!$B$4:$B$35,0),MATCH($DB$77,고양시_재차인원!$D$4:$H$4,0))</f>
        <v>124.2018888169108</v>
      </c>
      <c r="DC79" s="267">
        <f>INDEX($AA$77:$AN$85,MATCH($CW79,$L$77:$L$85,0),MATCH(DC$78,$AA$78:$AN$78,0))/INDEX(고양시_재차인원!$K$4:$O$20,MATCH("경기도",고양시_재차인원!$K$4:$K$20,0),MATCH(DC$78,고양시_재차인원!$K$4:$O$4,0))</f>
        <v>1.2933934864825755E-3</v>
      </c>
      <c r="DD79" s="267">
        <f>INDEX($AA$77:$AN$85,MATCH($CW79,$L$77:$L$85,0),MATCH(DD$78,$AA$78:$AN$78,0))/INDEX(고양시_재차인원!$K$4:$O$20,MATCH("경기도",고양시_재차인원!$K$4:$K$20,0),MATCH(DD$78,고양시_재차인원!$K$4:$O$4,0))</f>
        <v>0.35956338924215586</v>
      </c>
      <c r="DE79" s="267">
        <f>INDEX($AA$77:$AN$85,MATCH($CW79,$L$77:$L$85,0),MATCH(DE$78,$AA$78:$AN$78,0))/INDEX(고양시_재차인원!$D$4:$H$35,MATCH("고양시",고양시_재차인원!$B$4:$B$35,0),MATCH($DB$77,고양시_재차인원!$D$4:$H$4,0))</f>
        <v>7.9755412338309721</v>
      </c>
      <c r="DF79" s="267">
        <f>INDEX($AO$77:$BB$85,MATCH($CW79,$L$77:$L$85,0),MATCH(DF$78,$AO$78:$BB$78,0))/INDEX(고양시_재차인원!$D$4:$H$35,MATCH("고양시",고양시_재차인원!$B$4:$B$35,0),MATCH($DF$77,고양시_재차인원!$D$4:$H$4,0))</f>
        <v>7.7280526612839502</v>
      </c>
      <c r="DG79" s="267">
        <f>INDEX($AO$77:$BB$85,MATCH($CW79,$L$77:$L$85,0),MATCH(DG$78,$AO$78:$BB$78,0))/INDEX(고양시_재차인원!$K$4:$O$20,MATCH("경기도",고양시_재차인원!$K$4:$K$20,0),MATCH(DG$78,고양시_재차인원!$K$4:$O$4,0))</f>
        <v>7.4198782901789984E-5</v>
      </c>
      <c r="DH79" s="267">
        <f>INDEX($AO$77:$BB$85,MATCH($CW79,$L$77:$L$85,0),MATCH(DH$78,$AO$78:$BB$78,0))/INDEX(고양시_재차인원!$K$4:$O$20,MATCH("경기도",고양시_재차인원!$K$4:$K$20,0),MATCH(DH$78,고양시_재차인원!$K$4:$O$4,0))</f>
        <v>2.0627261646697613E-2</v>
      </c>
      <c r="DI79" s="267">
        <f>INDEX($AO$77:$BB$85,MATCH($CW79,$L$77:$L$85,0),MATCH(DI$78,$AO$78:$BB$78,0))/INDEX(고양시_재차인원!$D$4:$H$35,MATCH("고양시",고양시_재차인원!$B$4:$B$35,0),MATCH($DF$77,고양시_재차인원!$D$4:$H$4,0))</f>
        <v>0.49625173372480391</v>
      </c>
      <c r="DJ79" s="267">
        <f>INDEX($BC$77:$BP$85,MATCH($CW79,$L$77:$L$85,0),MATCH(DJ$78,$BC$78:$BP$78,0))/INDEX(고양시_재차인원!$D$4:$H$35,MATCH("고양시",고양시_재차인원!$B$4:$B$35,0),MATCH($DJ$77,고양시_재차인원!$D$4:$H$4,0))</f>
        <v>1.1608867199876491E-2</v>
      </c>
      <c r="DK79" s="267">
        <f>INDEX($BC$77:$BP$85,MATCH($CW79,$L$77:$L$85,0),MATCH(DK$78,$BC$78:$BP$78,0))/INDEX(고양시_재차인원!$K$4:$O$20,MATCH("경기도",고양시_재차인원!$K$4:$K$20,0),MATCH(DK$78,고양시_재차인원!$K$4:$O$4,0))</f>
        <v>1.1660363997138267E-7</v>
      </c>
      <c r="DL79" s="267">
        <f>INDEX($BC$77:$BP$85,MATCH($CW79,$L$77:$L$85,0),MATCH(DL$78,$BC$78:$BP$78,0))/INDEX(고양시_재차인원!$K$4:$O$20,MATCH("경기도",고양시_재차인원!$K$4:$K$20,0),MATCH(DL$78,고양시_재차인원!$K$4:$O$4,0))</f>
        <v>3.2415811912044378E-5</v>
      </c>
      <c r="DM79" s="267">
        <f>INDEX($BC$77:$BP$85,MATCH($CW79,$L$77:$L$85,0),MATCH(DM$78,$BC$78:$BP$78,0))/INDEX(고양시_재차인원!$D$4:$H$35,MATCH("고양시",고양시_재차인원!$B$4:$B$35,0),MATCH($DJ$77,고양시_재차인원!$D$4:$H$4,0))</f>
        <v>7.4545564413410587E-4</v>
      </c>
      <c r="DN79" s="267">
        <f>INDEX($BQ$77:$CD$85,MATCH($CW79,$L$77:$L$85,0),MATCH(DN$78,$BQ$78:$CD$78,0))/INDEX(고양시_재차인원!$D$4:$H$35,MATCH("고양시",고양시_재차인원!$B$4:$B$35,0),MATCH($DN$77,고양시_재차인원!$D$4:$H$4,0))</f>
        <v>4.7336333273570633E-2</v>
      </c>
      <c r="DO79" s="267">
        <f>INDEX($BQ$77:$CD$85,MATCH($CW79,$L$77:$L$85,0),MATCH(DO$78,$BQ$78:$CD$78,0))/INDEX(고양시_재차인원!$K$4:$O$20,MATCH("경기도",고양시_재차인원!$K$4:$K$20,0),MATCH(DO$78,고양시_재차인원!$K$4:$O$4,0))</f>
        <v>4.4050263989189165E-7</v>
      </c>
      <c r="DP79" s="267">
        <f>INDEX($BQ$77:$CD$85,MATCH($CW79,$L$77:$L$85,0),MATCH(DP$78,$BQ$78:$CD$78,0))/INDEX(고양시_재차인원!$K$4:$O$20,MATCH("경기도",고양시_재차인원!$K$4:$K$20,0),MATCH(DP$78,고양시_재차인원!$K$4:$O$4,0))</f>
        <v>1.2245973388994589E-4</v>
      </c>
      <c r="DQ79" s="267">
        <f>INDEX($BQ$77:$CD$85,MATCH($CW79,$L$77:$L$85,0),MATCH(DQ$78,$BQ$78:$CD$78,0))/INDEX(고양시_재차인원!$D$4:$H$35,MATCH("고양시",고양시_재차인원!$B$4:$B$35,0),MATCH($DN$77,고양시_재차인원!$D$4:$H$4,0))</f>
        <v>3.0396709863105107E-3</v>
      </c>
      <c r="DR79" s="270">
        <f>CX79+DB79+DF79+DJ79+DN79</f>
        <v>153.59409414403839</v>
      </c>
      <c r="DS79" s="270">
        <f t="shared" ref="DS79:DU85" si="20">CY79+DC79+DG79+DK79+DO79</f>
        <v>1.5468638878603684E-3</v>
      </c>
      <c r="DT79" s="270">
        <f t="shared" si="20"/>
        <v>0.4300281608251823</v>
      </c>
      <c r="DU79" s="270">
        <f t="shared" si="20"/>
        <v>9.8629420436954298</v>
      </c>
      <c r="DW79" s="278"/>
      <c r="DX79" s="278" t="s">
        <v>711</v>
      </c>
      <c r="DY79" s="281">
        <f>DR79+DU79</f>
        <v>163.45703618773382</v>
      </c>
      <c r="DZ79" s="281">
        <f>DS79+DT79</f>
        <v>0.43157502471304265</v>
      </c>
      <c r="EB79" s="278"/>
      <c r="EC79" s="278" t="s">
        <v>12</v>
      </c>
      <c r="ED79" s="281">
        <f>DY79</f>
        <v>163.45703618773382</v>
      </c>
      <c r="EE79" s="281">
        <f t="shared" ref="EE79:EE85" si="21">DZ79</f>
        <v>0.43157502471304265</v>
      </c>
      <c r="EL79" s="420" t="s">
        <v>729</v>
      </c>
      <c r="EM79" s="420"/>
      <c r="EN79" s="420"/>
      <c r="EO79" s="420"/>
      <c r="EP79" s="421">
        <v>849201</v>
      </c>
      <c r="EQ79" s="422">
        <f>ED86</f>
        <v>829.80045285095503</v>
      </c>
      <c r="ER79" s="422">
        <f>EE86</f>
        <v>2.190919150979437</v>
      </c>
      <c r="ES79">
        <v>0</v>
      </c>
      <c r="EU79" s="306" t="s">
        <v>729</v>
      </c>
      <c r="EV79" s="306"/>
      <c r="EW79" s="306"/>
      <c r="EX79" s="306"/>
      <c r="EY79" s="307">
        <v>849201</v>
      </c>
      <c r="EZ79" s="308">
        <f>EQ79*$EI$29</f>
        <v>829.80045285095503</v>
      </c>
      <c r="FA79" s="308">
        <f t="shared" ref="FA79" si="22">ER79*$EI$29</f>
        <v>2.190919150979437</v>
      </c>
      <c r="FE79" t="s">
        <v>565</v>
      </c>
      <c r="FF79" t="s">
        <v>566</v>
      </c>
      <c r="FG79" t="s">
        <v>567</v>
      </c>
    </row>
    <row r="80" spans="1:164" ht="25">
      <c r="A80" s="205"/>
      <c r="B80" s="205" t="s">
        <v>713</v>
      </c>
      <c r="C80" s="400">
        <f>$D9*KTDB_TripDistribution_2025!T$12 * (1+KTDB_발생량도착량_증가율!$C$7)</f>
        <v>97.770563114104391</v>
      </c>
      <c r="D80" s="400">
        <f>$D9*KTDB_TripDistribution_2025!U$12 * (1+KTDB_발생량도착량_증가율!$C$7)</f>
        <v>707.58556732500017</v>
      </c>
      <c r="E80" s="400">
        <f>$D9*KTDB_TripDistribution_2025!V$12 * (1+KTDB_발생량도착량_증가율!$C$7)</f>
        <v>40.592432576082011</v>
      </c>
      <c r="F80" s="400">
        <f>$D9*KTDB_TripDistribution_2025!W$12 * (1+KTDB_발생량도착량_증가율!$C$7)</f>
        <v>6.379114600746244E-2</v>
      </c>
      <c r="G80" s="400">
        <f>$D9*KTDB_TripDistribution_2025!X$12 * (1+KTDB_발생량도착량_증가율!$C$7)</f>
        <v>0.24098877380597014</v>
      </c>
      <c r="H80" s="400">
        <f>$D9*KTDB_TripDistribution_2025!Y$12 * (1+KTDB_발생량도착량_증가율!$C$7)</f>
        <v>846.25334293500032</v>
      </c>
      <c r="J80" s="230">
        <f t="shared" si="18"/>
        <v>846.25334293500009</v>
      </c>
      <c r="K80" s="206"/>
      <c r="L80" s="206" t="s">
        <v>713</v>
      </c>
      <c r="M80" s="206">
        <f>INDEX($A$78:$H$85,MATCH($L80,$B$78:$B$85,0),MATCH($M$77,$A$78:$H$78,0))*고양시_Modal_split!C$3 * 0.01</f>
        <v>0.2737575767194923</v>
      </c>
      <c r="N80" s="206">
        <f>INDEX($A$78:$H$85,MATCH($L80,$B$78:$B$85,0),MATCH($M$77,$A$78:$H$78,0))*고양시_Modal_split!D$3 * 0.01</f>
        <v>45.981495832563297</v>
      </c>
      <c r="O80" s="206">
        <f>INDEX($A$78:$H$85,MATCH($L80,$B$78:$B$85,0),MATCH($M$77,$A$78:$H$78,0))*고양시_Modal_split!E$3 * 0.01</f>
        <v>5.5631450411925396</v>
      </c>
      <c r="P80" s="206">
        <f>INDEX($A$78:$H$85,MATCH($L80,$B$78:$B$85,0),MATCH($M$77,$A$78:$H$78,0))*고양시_Modal_split!F$3 * 0.01</f>
        <v>8.9655606375633727</v>
      </c>
      <c r="Q80" s="206">
        <f>INDEX($A$78:$H$85,MATCH($L80,$B$78:$B$85,0),MATCH($M$77,$A$78:$H$78,0))*고양시_Modal_split!G$3 * 0.01</f>
        <v>0.89948918064976024</v>
      </c>
      <c r="R80" s="206">
        <f>INDEX($A$78:$H$85,MATCH($L80,$B$78:$B$85,0),MATCH($M$77,$A$78:$H$78,0))*고양시_Modal_split!H$3 * 0.01</f>
        <v>9.7770563114104401E-3</v>
      </c>
      <c r="S80" s="206">
        <f>INDEX($A$78:$H$85,MATCH($L80,$B$78:$B$85,0),MATCH($M$77,$A$78:$H$78,0))*고양시_Modal_split!I$3 * 0.01</f>
        <v>2.7180216545721021</v>
      </c>
      <c r="T80" s="206">
        <f>INDEX($A$78:$H$85,MATCH($L80,$B$78:$B$85,0),MATCH($M$77,$A$78:$H$78,0))*고양시_Modal_split!J$3 * 0.01</f>
        <v>29.761359411933377</v>
      </c>
      <c r="U80" s="206">
        <f>INDEX($A$78:$H$85,MATCH($L80,$B$78:$B$85,0),MATCH($M$77,$A$78:$H$78,0))*고양시_Modal_split!K$3 * 0.01</f>
        <v>0.14665584467115658</v>
      </c>
      <c r="V80" s="206">
        <f>INDEX($A$78:$H$85,MATCH($L80,$B$78:$B$85,0),MATCH($M$77,$A$78:$H$78,0))*고양시_Modal_split!L$3 * 0.01</f>
        <v>2.9526710060459527</v>
      </c>
      <c r="W80" s="206">
        <f>INDEX($A$78:$H$85,MATCH($L80,$B$78:$B$85,0),MATCH($M$77,$A$78:$H$78,0))*고양시_Modal_split!M$3 * 0.01</f>
        <v>0.22487229516244006</v>
      </c>
      <c r="X80" s="206">
        <f>INDEX($A$78:$H$85,MATCH($L80,$B$78:$B$85,0),MATCH($M$77,$A$78:$H$78,0))*고양시_Modal_split!N$3 * 0.01</f>
        <v>9.7770563114104411E-2</v>
      </c>
      <c r="Y80" s="206">
        <f>INDEX($A$78:$H$85,MATCH($L80,$B$78:$B$85,0),MATCH($M$77,$A$78:$H$78,0))*고양시_Modal_split!O$3 * 0.01</f>
        <v>0.1759870136053879</v>
      </c>
      <c r="Z80" s="209">
        <f>INDEX($A$78:$H$85,MATCH($L80,$B$78:$B$85,0),MATCH($M$77,$A$78:$H$78,0))*고양시_Modal_split!P$3 * 0.01</f>
        <v>97.770563114104391</v>
      </c>
      <c r="AA80" s="207">
        <f>INDEX($A$78:$H$85,MATCH($L80,$B$78:$B$85,0),MATCH($AA$77,$A$78:$H$78,0))*고양시_Modal_split!C$3 * 0.01</f>
        <v>1.9812395885100003</v>
      </c>
      <c r="AB80" s="207">
        <f>INDEX($A$78:$H$85,MATCH($L80,$B$78:$B$85,0),MATCH($AA$77,$A$78:$H$78,0))*고양시_Modal_split!D$3 * 0.01</f>
        <v>332.77749231294757</v>
      </c>
      <c r="AC80" s="207">
        <f>INDEX($A$78:$H$85,MATCH($L80,$B$78:$B$85,0),MATCH($AA$77,$A$78:$H$78,0))*고양시_Modal_split!E$3 * 0.01</f>
        <v>40.261618780792503</v>
      </c>
      <c r="AD80" s="207">
        <f>INDEX($A$78:$H$85,MATCH($L80,$B$78:$B$85,0),MATCH($AA$77,$A$78:$H$78,0))*고양시_Modal_split!F$3 * 0.01</f>
        <v>64.885596523702517</v>
      </c>
      <c r="AE80" s="207">
        <f>INDEX($A$78:$H$85,MATCH($L80,$B$78:$B$85,0),MATCH($AA$77,$A$78:$H$78,0))*고양시_Modal_split!G$3 * 0.01</f>
        <v>6.5097872193900015</v>
      </c>
      <c r="AF80" s="207">
        <f>INDEX($A$78:$H$85,MATCH($L80,$B$78:$B$85,0),MATCH($AA$77,$A$78:$H$78,0))*고양시_Modal_split!H$3 * 0.01</f>
        <v>7.0758556732500019E-2</v>
      </c>
      <c r="AG80" s="207">
        <f>INDEX($A$78:$H$85,MATCH($L80,$B$78:$B$85,0),MATCH($AA$77,$A$78:$H$78,0))*고양시_Modal_split!I$3 * 0.01</f>
        <v>19.670878771635003</v>
      </c>
      <c r="AH80" s="207">
        <f>INDEX($A$78:$H$85,MATCH($L80,$B$78:$B$85,0),MATCH($AA$77,$A$78:$H$78,0))*고양시_Modal_split!J$3 * 0.01</f>
        <v>215.38904669373005</v>
      </c>
      <c r="AI80" s="207">
        <f>INDEX($A$78:$H$85,MATCH($L80,$B$78:$B$85,0),MATCH($AA$77,$A$78:$H$78,0))*고양시_Modal_split!K$3 * 0.01</f>
        <v>1.0613783509875001</v>
      </c>
      <c r="AJ80" s="207">
        <f>INDEX($A$78:$H$85,MATCH($L80,$B$78:$B$85,0),MATCH($AA$77,$A$78:$H$78,0))*고양시_Modal_split!L$3 * 0.01</f>
        <v>21.369084133215008</v>
      </c>
      <c r="AK80" s="207">
        <f>INDEX($A$78:$H$85,MATCH($L80,$B$78:$B$85,0),MATCH($AA$77,$A$78:$H$78,0))*고양시_Modal_split!M$3 * 0.01</f>
        <v>1.6274468048475004</v>
      </c>
      <c r="AL80" s="207">
        <f>INDEX($A$78:$H$85,MATCH($L80,$B$78:$B$85,0),MATCH($AA$77,$A$78:$H$78,0))*고양시_Modal_split!N$3 * 0.01</f>
        <v>0.70758556732500022</v>
      </c>
      <c r="AM80" s="207">
        <f>INDEX($A$78:$H$85,MATCH($L80,$B$78:$B$85,0),MATCH($AA$77,$A$78:$H$78,0))*고양시_Modal_split!O$3 * 0.01</f>
        <v>1.2736540211850003</v>
      </c>
      <c r="AN80" s="207">
        <f>INDEX($A$78:$H$85,MATCH($L80,$B$78:$B$85,0),MATCH($AA$77,$A$78:$H$78,0))*고양시_Modal_split!P$3 * 0.01</f>
        <v>707.58556732500017</v>
      </c>
      <c r="AO80" s="303">
        <f>INDEX($A$78:$H$85,MATCH($L37,$B$78:$B$85,0),MATCH($AO$77,$A$78:$H$78,0))*고양시_Modal_split!C$3 * 0.01</f>
        <v>0.11365881121302962</v>
      </c>
      <c r="AP80" s="303">
        <f>INDEX($A$78:$H$85,MATCH($L37,$B$78:$B$85,0),MATCH($AO$77,$A$78:$H$78,0))*고양시_Modal_split!D$3 * 0.01</f>
        <v>19.090621040531371</v>
      </c>
      <c r="AQ80" s="303">
        <f>INDEX($A$78:$H$85,MATCH($L37,$B$78:$B$85,0),MATCH($AO$77,$A$78:$H$78,0))*고양시_Modal_split!E$3 * 0.01</f>
        <v>2.3097094135790663</v>
      </c>
      <c r="AR80" s="303">
        <f>INDEX($A$78:$H$85,MATCH($L37,$B$78:$B$85,0),MATCH($AO$77,$A$78:$H$78,0))*고양시_Modal_split!F$3 * 0.01</f>
        <v>3.7223260672267204</v>
      </c>
      <c r="AS80" s="303">
        <f>INDEX($A$78:$H$85,MATCH($L37,$B$78:$B$85,0),MATCH($AO$77,$A$78:$H$78,0))*고양시_Modal_split!G$3 * 0.01</f>
        <v>0.37345037969995448</v>
      </c>
      <c r="AT80" s="303">
        <f>INDEX($A$78:$H$85,MATCH($L37,$B$78:$B$85,0),MATCH($AO$77,$A$78:$H$78,0))*고양시_Modal_split!H$3 * 0.01</f>
        <v>4.059243257608201E-3</v>
      </c>
      <c r="AU80" s="303">
        <f>INDEX($A$78:$H$85,MATCH($L37,$B$78:$B$85,0),MATCH($AO$77,$A$78:$H$78,0))*고양시_Modal_split!I$3 * 0.01</f>
        <v>1.1284696256150799</v>
      </c>
      <c r="AV80" s="303">
        <f>INDEX($A$78:$H$85,MATCH($L37,$B$78:$B$85,0),MATCH($AO$77,$A$78:$H$78,0))*고양시_Modal_split!J$3 * 0.01</f>
        <v>12.356336476159365</v>
      </c>
      <c r="AW80" s="303">
        <f>INDEX($A$78:$H$85,MATCH($L37,$B$78:$B$85,0),MATCH($AO$77,$A$78:$H$78,0))*고양시_Modal_split!K$3 * 0.01</f>
        <v>6.088864886412302E-2</v>
      </c>
      <c r="AX80" s="303">
        <f>INDEX($A$78:$H$85,MATCH($L37,$B$78:$B$85,0),MATCH($AO$77,$A$78:$H$78,0))*고양시_Modal_split!L$3 * 0.01</f>
        <v>1.2258914637976768</v>
      </c>
      <c r="AY80" s="303">
        <f>INDEX($A$78:$H$85,MATCH($L37,$B$78:$B$85,0),MATCH($AO$77,$A$78:$H$78,0))*고양시_Modal_split!M$3 * 0.01</f>
        <v>9.3362594924988621E-2</v>
      </c>
      <c r="AZ80" s="303">
        <f>INDEX($A$78:$H$85,MATCH($L37,$B$78:$B$85,0),MATCH($AO$77,$A$78:$H$78,0))*고양시_Modal_split!N$3 * 0.01</f>
        <v>4.0592432576082013E-2</v>
      </c>
      <c r="BA80" s="207">
        <f>INDEX($A$78:$H$85,MATCH($L37,$B$78:$B$85,0),MATCH($AO$77,$A$78:$H$78,0))*고양시_Modal_split!O$3 * 0.01</f>
        <v>7.3066378636947621E-2</v>
      </c>
      <c r="BB80" s="207">
        <f>INDEX($A$78:$H$85,MATCH($L37,$B$78:$B$85,0),MATCH($AO$77,$A$78:$H$78,0))*고양시_Modal_split!P$3 * 0.01</f>
        <v>40.592432576082011</v>
      </c>
      <c r="BC80" s="207">
        <f>INDEX($A$78:$H$85,MATCH($L80,$B$78:$B$85,0),MATCH($BC$77,$A$78:$H$78,0))*고양시_Modal_split!C$3 * 0.01</f>
        <v>1.7861520882089482E-4</v>
      </c>
      <c r="BD80" s="207">
        <f>INDEX($A$78:$H$85,MATCH($L80,$B$78:$B$85,0),MATCH($BC$77,$A$78:$H$78,0))*고양시_Modal_split!D$3 * 0.01</f>
        <v>3.0000975967309586E-2</v>
      </c>
      <c r="BE80" s="207">
        <f>INDEX($A$78:$H$85,MATCH($L80,$B$78:$B$85,0),MATCH($BC$77,$A$78:$H$78,0))*고양시_Modal_split!E$3 * 0.01</f>
        <v>3.6297162078246128E-3</v>
      </c>
      <c r="BF80" s="207">
        <f>INDEX($A$78:$H$85,MATCH($L80,$B$78:$B$85,0),MATCH($BC$77,$A$78:$H$78,0))*고양시_Modal_split!F$3 * 0.01</f>
        <v>5.849648088884306E-3</v>
      </c>
      <c r="BG80" s="207">
        <f>INDEX($A$78:$H$85,MATCH($L80,$B$78:$B$85,0),MATCH($BC$77,$A$78:$H$78,0))*고양시_Modal_split!G$3 * 0.01</f>
        <v>5.8687854326865444E-4</v>
      </c>
      <c r="BH80" s="207">
        <f>INDEX($A$78:$H$85,MATCH($L80,$B$78:$B$85,0),MATCH($BC$77,$A$78:$H$78,0))*고양시_Modal_split!H$3 * 0.01</f>
        <v>6.3791146007462446E-6</v>
      </c>
      <c r="BI80" s="207">
        <f>INDEX($A$78:$H$85,MATCH($L80,$B$78:$B$85,0),MATCH($BC$77,$A$78:$H$78,0))*고양시_Modal_split!I$3 * 0.01</f>
        <v>1.7733938590074557E-3</v>
      </c>
      <c r="BJ80" s="207">
        <f>INDEX($A$78:$H$85,MATCH($L80,$B$78:$B$85,0),MATCH($BC$77,$A$78:$H$78,0))*고양시_Modal_split!J$3 * 0.01</f>
        <v>1.9418024844671568E-2</v>
      </c>
      <c r="BK80" s="207">
        <f>INDEX($A$78:$H$85,MATCH($L80,$B$78:$B$85,0),MATCH($BC$77,$A$78:$H$78,0))*고양시_Modal_split!K$3 * 0.01</f>
        <v>9.5686719011193661E-5</v>
      </c>
      <c r="BL80" s="207">
        <f>INDEX($A$78:$H$85,MATCH($L80,$B$78:$B$85,0),MATCH($BC$77,$A$78:$H$78,0))*고양시_Modal_split!L$3 * 0.01</f>
        <v>1.9264926094253658E-3</v>
      </c>
      <c r="BM80" s="207">
        <f>INDEX($A$78:$H$85,MATCH($L80,$B$78:$B$85,0),MATCH($BC$77,$A$78:$H$78,0))*고양시_Modal_split!M$3 * 0.01</f>
        <v>1.4671963581716361E-4</v>
      </c>
      <c r="BN80" s="207">
        <f>INDEX($A$78:$H$85,MATCH($L80,$B$78:$B$85,0),MATCH($BC$77,$A$78:$H$78,0))*고양시_Modal_split!N$3 * 0.01</f>
        <v>6.3791146007462441E-5</v>
      </c>
      <c r="BO80" s="207">
        <f>INDEX($A$78:$H$85,MATCH($L80,$B$78:$B$85,0),MATCH($BC$77,$A$78:$H$78,0))*고양시_Modal_split!O$3 * 0.01</f>
        <v>1.1482406281343239E-4</v>
      </c>
      <c r="BP80" s="207">
        <f>INDEX($A$78:$H$85,MATCH($L80,$B$78:$B$85,0),MATCH($BC$77,$A$78:$H$78,0))*고양시_Modal_split!P$3 * 0.01</f>
        <v>6.379114600746244E-2</v>
      </c>
      <c r="BQ80" s="207">
        <f>INDEX($A$78:$H$85,MATCH($L37,$B$78:$B$85,0),MATCH($BQ$77,$A$78:$H$78,0))*고양시_Modal_split!C$3 * 0.01</f>
        <v>6.747685666567163E-4</v>
      </c>
      <c r="BR80" s="207">
        <f>INDEX($A$78:$H$85,MATCH($L37,$B$78:$B$85,0),MATCH($BQ$77,$A$78:$H$78,0))*고양시_Modal_split!D$3 * 0.01</f>
        <v>0.11333702032094775</v>
      </c>
      <c r="BS80" s="207">
        <f>INDEX($A$78:$H$85,MATCH($L37,$B$78:$B$85,0),MATCH($BQ$77,$A$78:$H$78,0))*고양시_Modal_split!E$3 * 0.01</f>
        <v>1.3712261229559699E-2</v>
      </c>
      <c r="BT80" s="207">
        <f>INDEX($A$78:$H$85,MATCH($L37,$B$78:$B$85,0),MATCH($BQ$77,$A$78:$H$78,0))*고양시_Modal_split!F$3 * 0.01</f>
        <v>2.2098670558007464E-2</v>
      </c>
      <c r="BU80" s="207">
        <f>INDEX($A$78:$H$85,MATCH($L37,$B$78:$B$85,0),MATCH($BQ$77,$A$78:$H$78,0))*고양시_Modal_split!G$3 * 0.01</f>
        <v>2.2170967190149253E-3</v>
      </c>
      <c r="BV80" s="207">
        <f>INDEX($A$78:$H$85,MATCH($L37,$B$78:$B$85,0),MATCH($BQ$77,$A$78:$H$78,0))*고양시_Modal_split!H$3 * 0.01</f>
        <v>2.4098877380597014E-5</v>
      </c>
      <c r="BW80" s="207">
        <f>INDEX($A$78:$H$85,MATCH($L37,$B$78:$B$85,0),MATCH($BQ$77,$A$78:$H$78,0))*고양시_Modal_split!I$3 * 0.01</f>
        <v>6.6994879118059689E-3</v>
      </c>
      <c r="BX80" s="207">
        <f>INDEX($A$78:$H$85,MATCH($L37,$B$78:$B$85,0),MATCH($BQ$77,$A$78:$H$78,0))*고양시_Modal_split!J$3 * 0.01</f>
        <v>7.3356982746537319E-2</v>
      </c>
      <c r="BY80" s="207">
        <f>INDEX($A$78:$H$85,MATCH($L37,$B$78:$B$85,0),MATCH($BQ$77,$A$78:$H$78,0))*고양시_Modal_split!K$3 * 0.01</f>
        <v>3.6148316070895521E-4</v>
      </c>
      <c r="BZ80" s="207">
        <f>INDEX($A$78:$H$85,MATCH($L37,$B$78:$B$85,0),MATCH($BQ$77,$A$78:$H$78,0))*고양시_Modal_split!L$3 * 0.01</f>
        <v>7.2778609689402984E-3</v>
      </c>
      <c r="CA80" s="207">
        <f>INDEX($A$78:$H$85,MATCH($L37,$B$78:$B$85,0),MATCH($BQ$77,$A$78:$H$78,0))*고양시_Modal_split!M$3 * 0.01</f>
        <v>5.5427417975373132E-4</v>
      </c>
      <c r="CB80" s="207">
        <f>INDEX($A$78:$H$85,MATCH($L37,$B$78:$B$85,0),MATCH($BQ$77,$A$78:$H$78,0))*고양시_Modal_split!N$3 * 0.01</f>
        <v>2.4098877380597018E-4</v>
      </c>
      <c r="CC80" s="207">
        <f>INDEX($A$78:$H$85,MATCH($L37,$B$78:$B$85,0),MATCH($BQ$77,$A$78:$H$78,0))*고양시_Modal_split!O$3 * 0.01</f>
        <v>4.3377979285074623E-4</v>
      </c>
      <c r="CD80" s="207">
        <f>INDEX($A$78:$H$85,MATCH($L37,$B$78:$B$85,0),MATCH($BQ$77,$A$78:$H$78,0))*고양시_Modal_split!P$3 * 0.01</f>
        <v>0.24098877380597014</v>
      </c>
      <c r="CE80" s="304">
        <f t="shared" ref="CE80:CE85" si="23">M80+AA80+AO80+BC80+BQ80</f>
        <v>2.3695093602179997</v>
      </c>
      <c r="CF80" s="304">
        <f t="shared" si="19"/>
        <v>397.99294718233051</v>
      </c>
      <c r="CG80" s="304">
        <f t="shared" si="19"/>
        <v>48.151815213001491</v>
      </c>
      <c r="CH80" s="304">
        <f t="shared" si="19"/>
        <v>77.601431547139498</v>
      </c>
      <c r="CI80" s="304">
        <f t="shared" si="19"/>
        <v>7.7855307550019992</v>
      </c>
      <c r="CJ80" s="304">
        <f t="shared" si="19"/>
        <v>8.4625334293500012E-2</v>
      </c>
      <c r="CK80" s="304">
        <f t="shared" si="19"/>
        <v>23.525842933592997</v>
      </c>
      <c r="CL80" s="304">
        <f t="shared" si="19"/>
        <v>257.59951758941401</v>
      </c>
      <c r="CM80" s="304">
        <f t="shared" si="19"/>
        <v>1.2693800144024998</v>
      </c>
      <c r="CN80" s="304">
        <f t="shared" si="19"/>
        <v>25.556850956637003</v>
      </c>
      <c r="CO80" s="304">
        <f t="shared" si="19"/>
        <v>1.9463826887504998</v>
      </c>
      <c r="CP80" s="304">
        <f t="shared" si="19"/>
        <v>0.84625334293499999</v>
      </c>
      <c r="CQ80" s="304">
        <f t="shared" si="19"/>
        <v>1.5232560172829999</v>
      </c>
      <c r="CR80" s="304">
        <f t="shared" si="19"/>
        <v>846.25334293500009</v>
      </c>
      <c r="CS80" s="305">
        <f t="shared" ref="CS80:CS85" si="24">H80-CR80</f>
        <v>0</v>
      </c>
      <c r="CV80" s="265"/>
      <c r="CW80" s="265" t="s">
        <v>713</v>
      </c>
      <c r="CX80" s="267">
        <f>INDEX($M$77:$Z$85,MATCH($CW80,$L$77:$L$85,0),MATCH(CX$78,$M$78:$Z$78,0))/INDEX(고양시_재차인원!$D$4:$H$35,MATCH("고양시",고양시_재차인원!$B$4:$B$35,0),MATCH($CX$77,고양시_재차인원!$D$4:$H$4,0))</f>
        <v>41.054906993360085</v>
      </c>
      <c r="CY80" s="267">
        <f>INDEX($M$77:$Z$85,MATCH($CW80,$L$77:$L$85,0),MATCH(CY$78,$M$78:$Z$78,0))/INDEX(고양시_재차인원!$K$4:$O$20,MATCH("경기도",고양시_재차인원!$K$4:$K$20,0),MATCH(CY$78,고양시_재차인원!$K$4:$O$4,0))</f>
        <v>3.3959903825670163E-4</v>
      </c>
      <c r="CZ80" s="267">
        <f>INDEX($M$77:$Z$85,MATCH($CW80,$L$77:$L$85,0),MATCH(CZ$78,$M$78:$Z$78,0))/INDEX(고양시_재차인원!$K$4:$O$20,MATCH("경기도",고양시_재차인원!$K$4:$K$20,0),MATCH(CZ$78,고양시_재차인원!$K$4:$O$4,0))</f>
        <v>9.4408532635363043E-2</v>
      </c>
      <c r="DA80" s="267">
        <f>INDEX($M$77:$Z$85,MATCH($CW80,$L$77:$L$85,0),MATCH(DA$78,$M$78:$Z$78,0))/INDEX(고양시_재차인원!$D$4:$H$35,MATCH("고양시",고양시_재차인원!$B$4:$B$35,0),MATCH($CX$77,고양시_재차인원!$D$4:$H$4,0))</f>
        <v>2.6363133982553149</v>
      </c>
      <c r="DB80" s="267">
        <f>INDEX($AA$77:$AN$85,MATCH($CW80,$L$77:$L$85,0),MATCH(DB$78,$AA$78:$AN$78,0))/INDEX(고양시_재차인원!$D$4:$H$35,MATCH("고양시",고양시_재차인원!$B$4:$B$35,0),MATCH($DB$77,고양시_재차인원!$D$4:$H$4,0))</f>
        <v>236.0124058957075</v>
      </c>
      <c r="DC80" s="267">
        <f>INDEX($AA$77:$AN$85,MATCH($CW80,$L$77:$L$85,0),MATCH(DC$78,$AA$78:$AN$78,0))/INDEX(고양시_재차인원!$K$4:$O$20,MATCH("경기도",고양시_재차인원!$K$4:$K$20,0),MATCH(DC$78,고양시_재차인원!$K$4:$O$4,0))</f>
        <v>2.4577477156130607E-3</v>
      </c>
      <c r="DD80" s="267">
        <f>INDEX($AA$77:$AN$85,MATCH($CW80,$L$77:$L$85,0),MATCH(DD$78,$AA$78:$AN$78,0))/INDEX(고양시_재차인원!$K$4:$O$20,MATCH("경기도",고양시_재차인원!$K$4:$K$20,0),MATCH(DD$78,고양시_재차인원!$K$4:$O$4,0))</f>
        <v>0.68325386494043083</v>
      </c>
      <c r="DE80" s="267">
        <f>INDEX($AA$77:$AN$85,MATCH($CW80,$L$77:$L$85,0),MATCH(DE$78,$AA$78:$AN$78,0))/INDEX(고양시_재차인원!$D$4:$H$35,MATCH("고양시",고양시_재차인원!$B$4:$B$35,0),MATCH($DB$77,고양시_재차인원!$D$4:$H$4,0))</f>
        <v>15.155378817882985</v>
      </c>
      <c r="DF80" s="267">
        <f>INDEX($AO$77:$BB$85,MATCH($CW80,$L$77:$L$85,0),MATCH(DF$78,$AO$78:$BB$78,0))/INDEX(고양시_재차인원!$D$4:$H$35,MATCH("고양시",고양시_재차인원!$B$4:$B$35,0),MATCH($DF$77,고양시_재차인원!$D$4:$H$4,0))</f>
        <v>14.685093108101054</v>
      </c>
      <c r="DG80" s="267">
        <f>INDEX($AO$77:$BB$85,MATCH($CW80,$L$77:$L$85,0),MATCH(DG$78,$AO$78:$BB$78,0))/INDEX(고양시_재차인원!$K$4:$O$20,MATCH("경기도",고양시_재차인원!$K$4:$K$20,0),MATCH(DG$78,고양시_재차인원!$K$4:$O$4,0))</f>
        <v>1.4099490300827373E-4</v>
      </c>
      <c r="DH80" s="267">
        <f>INDEX($AO$77:$BB$85,MATCH($CW80,$L$77:$L$85,0),MATCH(DH$78,$AO$78:$BB$78,0))/INDEX(고양시_재차인원!$K$4:$O$20,MATCH("경기도",고양시_재차인원!$K$4:$K$20,0),MATCH(DH$78,고양시_재차인원!$K$4:$O$4,0))</f>
        <v>3.9196583036300102E-2</v>
      </c>
      <c r="DI80" s="267">
        <f>INDEX($AO$77:$BB$85,MATCH($CW80,$L$77:$L$85,0),MATCH(DI$78,$AO$78:$BB$78,0))/INDEX(고양시_재차인원!$D$4:$H$35,MATCH("고양시",고양시_재차인원!$B$4:$B$35,0),MATCH($DF$77,고양시_재차인원!$D$4:$H$4,0))</f>
        <v>0.94299343369052058</v>
      </c>
      <c r="DJ80" s="267">
        <f>INDEX($BC$77:$BP$85,MATCH($CW80,$L$77:$L$85,0),MATCH(DJ$78,$BC$78:$BP$78,0))/INDEX(고양시_재차인원!$D$4:$H$35,MATCH("고양시",고양시_재차인원!$B$4:$B$35,0),MATCH($DJ$77,고양시_재차인원!$D$4:$H$4,0))</f>
        <v>2.2059541152433516E-2</v>
      </c>
      <c r="DK80" s="267">
        <f>INDEX($BC$77:$BP$85,MATCH($CW80,$L$77:$L$85,0),MATCH(DK$78,$BC$78:$BP$78,0))/INDEX(고양시_재차인원!$K$4:$O$20,MATCH("경기도",고양시_재차인원!$K$4:$K$20,0),MATCH(DK$78,고양시_재차인원!$K$4:$O$4,0))</f>
        <v>2.2157397015443713E-7</v>
      </c>
      <c r="DL80" s="267">
        <f>INDEX($BC$77:$BP$85,MATCH($CW80,$L$77:$L$85,0),MATCH(DL$78,$BC$78:$BP$78,0))/INDEX(고양시_재차인원!$K$4:$O$20,MATCH("경기도",고양시_재차인원!$K$4:$K$20,0),MATCH(DL$78,고양시_재차인원!$K$4:$O$4,0))</f>
        <v>6.1597563702933507E-5</v>
      </c>
      <c r="DM80" s="267">
        <f>INDEX($BC$77:$BP$85,MATCH($CW80,$L$77:$L$85,0),MATCH(DM$78,$BC$78:$BP$78,0))/INDEX(고양시_재차인원!$D$4:$H$35,MATCH("고양시",고양시_재차인원!$B$4:$B$35,0),MATCH($DJ$77,고양시_재차인원!$D$4:$H$4,0))</f>
        <v>1.4165386834010041E-3</v>
      </c>
      <c r="DN80" s="267">
        <f>INDEX($BQ$77:$CD$85,MATCH($CW80,$L$77:$L$85,0),MATCH(DN$78,$BQ$78:$CD$78,0))/INDEX(고양시_재차인원!$D$4:$H$35,MATCH("고양시",고양시_재차인원!$B$4:$B$35,0),MATCH($DN$77,고양시_재차인원!$D$4:$H$4,0))</f>
        <v>8.9950016127736315E-2</v>
      </c>
      <c r="DO80" s="267">
        <f>INDEX($BQ$77:$CD$85,MATCH($CW80,$L$77:$L$85,0),MATCH(DO$78,$BQ$78:$CD$78,0))/INDEX(고양시_재차인원!$K$4:$O$20,MATCH("경기도",고양시_재차인원!$K$4:$K$20,0),MATCH(DO$78,고양시_재차인원!$K$4:$O$4,0))</f>
        <v>8.370572205834322E-7</v>
      </c>
      <c r="DP80" s="267">
        <f>INDEX($BQ$77:$CD$85,MATCH($CW80,$L$77:$L$85,0),MATCH(DP$78,$BQ$78:$CD$78,0))/INDEX(고양시_재차인원!$K$4:$O$20,MATCH("경기도",고양시_재차인원!$K$4:$K$20,0),MATCH(DP$78,고양시_재차인원!$K$4:$O$4,0))</f>
        <v>2.3270190732219414E-4</v>
      </c>
      <c r="DQ80" s="267">
        <f>INDEX($BQ$77:$CD$85,MATCH($CW80,$L$77:$L$85,0),MATCH(DQ$78,$BQ$78:$CD$78,0))/INDEX(고양시_재차인원!$D$4:$H$35,MATCH("고양시",고양시_재차인원!$B$4:$B$35,0),MATCH($DN$77,고양시_재차인원!$D$4:$H$4,0))</f>
        <v>5.7760801340796019E-3</v>
      </c>
      <c r="DR80" s="270">
        <f t="shared" ref="DR80:DR85" si="25">CX80+DB80+DF80+DJ80+DN80</f>
        <v>291.86441555444878</v>
      </c>
      <c r="DS80" s="270">
        <f t="shared" si="20"/>
        <v>2.9394002880687737E-3</v>
      </c>
      <c r="DT80" s="270">
        <f t="shared" si="20"/>
        <v>0.81715328008311916</v>
      </c>
      <c r="DU80" s="270">
        <f t="shared" si="20"/>
        <v>18.741878268646303</v>
      </c>
      <c r="DW80" s="278"/>
      <c r="DX80" s="278" t="s">
        <v>713</v>
      </c>
      <c r="DY80" s="281">
        <f t="shared" ref="DY80:DY85" si="26">DR80+DU80</f>
        <v>310.60629382309509</v>
      </c>
      <c r="DZ80" s="281">
        <f t="shared" ref="DZ80:DZ85" si="27">DS80+DT80</f>
        <v>0.82009268037118799</v>
      </c>
      <c r="EB80" s="278"/>
      <c r="EC80" s="278" t="s">
        <v>668</v>
      </c>
      <c r="ED80" s="281">
        <f t="shared" ref="ED80:ED85" si="28">DY80</f>
        <v>310.60629382309509</v>
      </c>
      <c r="EE80" s="281">
        <f t="shared" si="21"/>
        <v>0.82009268037118799</v>
      </c>
      <c r="FE80" t="s">
        <v>12</v>
      </c>
      <c r="FF80" t="s">
        <v>568</v>
      </c>
      <c r="FG80">
        <v>8014.2473</v>
      </c>
      <c r="FH80" s="277" t="e">
        <f t="shared" ref="FH80:FH85" si="29">FG80/SUMIF($FE$98:$FE$132,"="&amp;FE80,$FG$98:$FG$132)</f>
        <v>#DIV/0!</v>
      </c>
    </row>
    <row r="81" spans="1:164" ht="37.5">
      <c r="A81" s="205"/>
      <c r="B81" s="205" t="s">
        <v>715</v>
      </c>
      <c r="C81" s="400">
        <f>$D10*KTDB_TripDistribution_2025!T$12 * (1+KTDB_발생량도착량_증가율!$C$7)</f>
        <v>18.742342379626848</v>
      </c>
      <c r="D81" s="400">
        <f>$D10*KTDB_TripDistribution_2025!U$12 * (1+KTDB_발생량도착량_증가율!$C$7)</f>
        <v>135.64216614166671</v>
      </c>
      <c r="E81" s="400">
        <f>$D10*KTDB_TripDistribution_2025!V$12 * (1+KTDB_발생량도착량_증가율!$C$7)</f>
        <v>7.7814553289925223</v>
      </c>
      <c r="F81" s="400">
        <f>$D10*KTDB_TripDistribution_2025!W$12 * (1+KTDB_발생량도착량_증가율!$C$7)</f>
        <v>1.2228583544776074E-2</v>
      </c>
      <c r="G81" s="400">
        <f>$D10*KTDB_TripDistribution_2025!X$12 * (1+KTDB_발생량도착량_증가율!$C$7)</f>
        <v>4.6196871169154226E-2</v>
      </c>
      <c r="H81" s="400">
        <f>$D10*KTDB_TripDistribution_2025!Y$12 * (1+KTDB_발생량도착량_증가율!$C$7)</f>
        <v>162.22438930500005</v>
      </c>
      <c r="J81" s="230">
        <f t="shared" si="18"/>
        <v>162.22438930500002</v>
      </c>
      <c r="K81" s="206"/>
      <c r="L81" s="206" t="s">
        <v>715</v>
      </c>
      <c r="M81" s="206">
        <f>INDEX($A$78:$H$85,MATCH($L81,$B$78:$B$85,0),MATCH($M$77,$A$78:$H$78,0))*고양시_Modal_split!C$3 * 0.01</f>
        <v>5.2478558662955165E-2</v>
      </c>
      <c r="N81" s="206">
        <f>INDEX($A$78:$H$85,MATCH($L81,$B$78:$B$85,0),MATCH($M$77,$A$78:$H$78,0))*고양시_Modal_split!D$3 * 0.01</f>
        <v>8.8145236211385072</v>
      </c>
      <c r="O81" s="206">
        <f>INDEX($A$78:$H$85,MATCH($L81,$B$78:$B$85,0),MATCH($M$77,$A$78:$H$78,0))*고양시_Modal_split!E$3 * 0.01</f>
        <v>1.0664392814007675</v>
      </c>
      <c r="P81" s="206">
        <f>INDEX($A$78:$H$85,MATCH($L81,$B$78:$B$85,0),MATCH($M$77,$A$78:$H$78,0))*고양시_Modal_split!F$3 * 0.01</f>
        <v>1.718672796211782</v>
      </c>
      <c r="Q81" s="206">
        <f>INDEX($A$78:$H$85,MATCH($L81,$B$78:$B$85,0),MATCH($M$77,$A$78:$H$78,0))*고양시_Modal_split!G$3 * 0.01</f>
        <v>0.17242954989256698</v>
      </c>
      <c r="R81" s="206">
        <f>INDEX($A$78:$H$85,MATCH($L81,$B$78:$B$85,0),MATCH($M$77,$A$78:$H$78,0))*고양시_Modal_split!H$3 * 0.01</f>
        <v>1.8742342379626847E-3</v>
      </c>
      <c r="S81" s="206">
        <f>INDEX($A$78:$H$85,MATCH($L81,$B$78:$B$85,0),MATCH($M$77,$A$78:$H$78,0))*고양시_Modal_split!I$3 * 0.01</f>
        <v>0.52103711815362641</v>
      </c>
      <c r="T81" s="206">
        <f>INDEX($A$78:$H$85,MATCH($L81,$B$78:$B$85,0),MATCH($M$77,$A$78:$H$78,0))*고양시_Modal_split!J$3 * 0.01</f>
        <v>5.7051690203584133</v>
      </c>
      <c r="U81" s="206">
        <f>INDEX($A$78:$H$85,MATCH($L81,$B$78:$B$85,0),MATCH($M$77,$A$78:$H$78,0))*고양시_Modal_split!K$3 * 0.01</f>
        <v>2.8113513569440269E-2</v>
      </c>
      <c r="V81" s="206">
        <f>INDEX($A$78:$H$85,MATCH($L81,$B$78:$B$85,0),MATCH($M$77,$A$78:$H$78,0))*고양시_Modal_split!L$3 * 0.01</f>
        <v>0.56601873986473084</v>
      </c>
      <c r="W81" s="206">
        <f>INDEX($A$78:$H$85,MATCH($L81,$B$78:$B$85,0),MATCH($M$77,$A$78:$H$78,0))*고양시_Modal_split!M$3 * 0.01</f>
        <v>4.3107387473141745E-2</v>
      </c>
      <c r="X81" s="206">
        <f>INDEX($A$78:$H$85,MATCH($L81,$B$78:$B$85,0),MATCH($M$77,$A$78:$H$78,0))*고양시_Modal_split!N$3 * 0.01</f>
        <v>1.8742342379626849E-2</v>
      </c>
      <c r="Y81" s="206">
        <f>INDEX($A$78:$H$85,MATCH($L81,$B$78:$B$85,0),MATCH($M$77,$A$78:$H$78,0))*고양시_Modal_split!O$3 * 0.01</f>
        <v>3.3736216283328326E-2</v>
      </c>
      <c r="Z81" s="209">
        <f>INDEX($A$78:$H$85,MATCH($L81,$B$78:$B$85,0),MATCH($M$77,$A$78:$H$78,0))*고양시_Modal_split!P$3 * 0.01</f>
        <v>18.742342379626848</v>
      </c>
      <c r="AA81" s="207">
        <f>INDEX($A$78:$H$85,MATCH($L81,$B$78:$B$85,0),MATCH($AA$77,$A$78:$H$78,0))*고양시_Modal_split!C$3 * 0.01</f>
        <v>0.37979806519666676</v>
      </c>
      <c r="AB81" s="207">
        <f>INDEX($A$78:$H$85,MATCH($L81,$B$78:$B$85,0),MATCH($AA$77,$A$78:$H$78,0))*고양시_Modal_split!D$3 * 0.01</f>
        <v>63.792510736425861</v>
      </c>
      <c r="AC81" s="207">
        <f>INDEX($A$78:$H$85,MATCH($L81,$B$78:$B$85,0),MATCH($AA$77,$A$78:$H$78,0))*고양시_Modal_split!E$3 * 0.01</f>
        <v>7.7180392534608346</v>
      </c>
      <c r="AD81" s="207">
        <f>INDEX($A$78:$H$85,MATCH($L81,$B$78:$B$85,0),MATCH($AA$77,$A$78:$H$78,0))*고양시_Modal_split!F$3 * 0.01</f>
        <v>12.438386635190836</v>
      </c>
      <c r="AE81" s="207">
        <f>INDEX($A$78:$H$85,MATCH($L81,$B$78:$B$85,0),MATCH($AA$77,$A$78:$H$78,0))*고양시_Modal_split!G$3 * 0.01</f>
        <v>1.2479079285033337</v>
      </c>
      <c r="AF81" s="207">
        <f>INDEX($A$78:$H$85,MATCH($L81,$B$78:$B$85,0),MATCH($AA$77,$A$78:$H$78,0))*고양시_Modal_split!H$3 * 0.01</f>
        <v>1.3564216614166671E-2</v>
      </c>
      <c r="AG81" s="207">
        <f>INDEX($A$78:$H$85,MATCH($L81,$B$78:$B$85,0),MATCH($AA$77,$A$78:$H$78,0))*고양시_Modal_split!I$3 * 0.01</f>
        <v>3.7708522187383342</v>
      </c>
      <c r="AH81" s="207">
        <f>INDEX($A$78:$H$85,MATCH($L81,$B$78:$B$85,0),MATCH($AA$77,$A$78:$H$78,0))*고양시_Modal_split!J$3 * 0.01</f>
        <v>41.289475373523345</v>
      </c>
      <c r="AI81" s="207">
        <f>INDEX($A$78:$H$85,MATCH($L81,$B$78:$B$85,0),MATCH($AA$77,$A$78:$H$78,0))*고양시_Modal_split!K$3 * 0.01</f>
        <v>0.20346324921250006</v>
      </c>
      <c r="AJ81" s="207">
        <f>INDEX($A$78:$H$85,MATCH($L81,$B$78:$B$85,0),MATCH($AA$77,$A$78:$H$78,0))*고양시_Modal_split!L$3 * 0.01</f>
        <v>4.0963934174783345</v>
      </c>
      <c r="AK81" s="207">
        <f>INDEX($A$78:$H$85,MATCH($L81,$B$78:$B$85,0),MATCH($AA$77,$A$78:$H$78,0))*고양시_Modal_split!M$3 * 0.01</f>
        <v>0.31197698212583341</v>
      </c>
      <c r="AL81" s="207">
        <f>INDEX($A$78:$H$85,MATCH($L81,$B$78:$B$85,0),MATCH($AA$77,$A$78:$H$78,0))*고양시_Modal_split!N$3 * 0.01</f>
        <v>0.13564216614166671</v>
      </c>
      <c r="AM81" s="207">
        <f>INDEX($A$78:$H$85,MATCH($L81,$B$78:$B$85,0),MATCH($AA$77,$A$78:$H$78,0))*고양시_Modal_split!O$3 * 0.01</f>
        <v>0.24415589905500007</v>
      </c>
      <c r="AN81" s="207">
        <f>INDEX($A$78:$H$85,MATCH($L81,$B$78:$B$85,0),MATCH($AA$77,$A$78:$H$78,0))*고양시_Modal_split!P$3 * 0.01</f>
        <v>135.64216614166671</v>
      </c>
      <c r="AO81" s="303">
        <f>INDEX($A$78:$H$85,MATCH($L38,$B$78:$B$85,0),MATCH($AO$77,$A$78:$H$78,0))*고양시_Modal_split!C$3 * 0.01</f>
        <v>2.1788074921179061E-2</v>
      </c>
      <c r="AP81" s="303">
        <f>INDEX($A$78:$H$85,MATCH($L38,$B$78:$B$85,0),MATCH($AO$77,$A$78:$H$78,0))*고양시_Modal_split!D$3 * 0.01</f>
        <v>3.6596184412251835</v>
      </c>
      <c r="AQ81" s="303">
        <f>INDEX($A$78:$H$85,MATCH($L38,$B$78:$B$85,0),MATCH($AO$77,$A$78:$H$78,0))*고양시_Modal_split!E$3 * 0.01</f>
        <v>0.44276480821967446</v>
      </c>
      <c r="AR81" s="303">
        <f>INDEX($A$78:$H$85,MATCH($L38,$B$78:$B$85,0),MATCH($AO$77,$A$78:$H$78,0))*고양시_Modal_split!F$3 * 0.01</f>
        <v>0.7135594536686144</v>
      </c>
      <c r="AS81" s="303">
        <f>INDEX($A$78:$H$85,MATCH($L38,$B$78:$B$85,0),MATCH($AO$77,$A$78:$H$78,0))*고양시_Modal_split!G$3 * 0.01</f>
        <v>7.1589389026731204E-2</v>
      </c>
      <c r="AT81" s="303">
        <f>INDEX($A$78:$H$85,MATCH($L38,$B$78:$B$85,0),MATCH($AO$77,$A$78:$H$78,0))*고양시_Modal_split!H$3 * 0.01</f>
        <v>7.7814553289925234E-4</v>
      </c>
      <c r="AU81" s="303">
        <f>INDEX($A$78:$H$85,MATCH($L38,$B$78:$B$85,0),MATCH($AO$77,$A$78:$H$78,0))*고양시_Modal_split!I$3 * 0.01</f>
        <v>0.21632445814599213</v>
      </c>
      <c r="AV81" s="303">
        <f>INDEX($A$78:$H$85,MATCH($L38,$B$78:$B$85,0),MATCH($AO$77,$A$78:$H$78,0))*고양시_Modal_split!J$3 * 0.01</f>
        <v>2.368675002145324</v>
      </c>
      <c r="AW81" s="303">
        <f>INDEX($A$78:$H$85,MATCH($L38,$B$78:$B$85,0),MATCH($AO$77,$A$78:$H$78,0))*고양시_Modal_split!K$3 * 0.01</f>
        <v>1.1672182993488782E-2</v>
      </c>
      <c r="AX81" s="303">
        <f>INDEX($A$78:$H$85,MATCH($L38,$B$78:$B$85,0),MATCH($AO$77,$A$78:$H$78,0))*고양시_Modal_split!L$3 * 0.01</f>
        <v>0.23499995093557416</v>
      </c>
      <c r="AY81" s="303">
        <f>INDEX($A$78:$H$85,MATCH($L38,$B$78:$B$85,0),MATCH($AO$77,$A$78:$H$78,0))*고양시_Modal_split!M$3 * 0.01</f>
        <v>1.7897347256682801E-2</v>
      </c>
      <c r="AZ81" s="303">
        <f>INDEX($A$78:$H$85,MATCH($L38,$B$78:$B$85,0),MATCH($AO$77,$A$78:$H$78,0))*고양시_Modal_split!N$3 * 0.01</f>
        <v>7.781455328992523E-3</v>
      </c>
      <c r="BA81" s="207">
        <f>INDEX($A$78:$H$85,MATCH($L38,$B$78:$B$85,0),MATCH($AO$77,$A$78:$H$78,0))*고양시_Modal_split!O$3 * 0.01</f>
        <v>1.4006619592186541E-2</v>
      </c>
      <c r="BB81" s="207">
        <f>INDEX($A$78:$H$85,MATCH($L38,$B$78:$B$85,0),MATCH($AO$77,$A$78:$H$78,0))*고양시_Modal_split!P$3 * 0.01</f>
        <v>7.7814553289925223</v>
      </c>
      <c r="BC81" s="207">
        <f>INDEX($A$78:$H$85,MATCH($L81,$B$78:$B$85,0),MATCH($BC$77,$A$78:$H$78,0))*고양시_Modal_split!C$3 * 0.01</f>
        <v>3.4240033925373006E-5</v>
      </c>
      <c r="BD81" s="207">
        <f>INDEX($A$78:$H$85,MATCH($L81,$B$78:$B$85,0),MATCH($BC$77,$A$78:$H$78,0))*고양시_Modal_split!D$3 * 0.01</f>
        <v>5.7511028411081876E-3</v>
      </c>
      <c r="BE81" s="207">
        <f>INDEX($A$78:$H$85,MATCH($L81,$B$78:$B$85,0),MATCH($BC$77,$A$78:$H$78,0))*고양시_Modal_split!E$3 * 0.01</f>
        <v>6.9580640369775858E-4</v>
      </c>
      <c r="BF81" s="207">
        <f>INDEX($A$78:$H$85,MATCH($L81,$B$78:$B$85,0),MATCH($BC$77,$A$78:$H$78,0))*고양시_Modal_split!F$3 * 0.01</f>
        <v>1.121361111055966E-3</v>
      </c>
      <c r="BG81" s="207">
        <f>INDEX($A$78:$H$85,MATCH($L81,$B$78:$B$85,0),MATCH($BC$77,$A$78:$H$78,0))*고양시_Modal_split!G$3 * 0.01</f>
        <v>1.1250296861193988E-4</v>
      </c>
      <c r="BH81" s="207">
        <f>INDEX($A$78:$H$85,MATCH($L81,$B$78:$B$85,0),MATCH($BC$77,$A$78:$H$78,0))*고양시_Modal_split!H$3 * 0.01</f>
        <v>1.2228583544776075E-6</v>
      </c>
      <c r="BI81" s="207">
        <f>INDEX($A$78:$H$85,MATCH($L81,$B$78:$B$85,0),MATCH($BC$77,$A$78:$H$78,0))*고양시_Modal_split!I$3 * 0.01</f>
        <v>3.3995462254477485E-4</v>
      </c>
      <c r="BJ81" s="207">
        <f>INDEX($A$78:$H$85,MATCH($L81,$B$78:$B$85,0),MATCH($BC$77,$A$78:$H$78,0))*고양시_Modal_split!J$3 * 0.01</f>
        <v>3.7223808310298374E-3</v>
      </c>
      <c r="BK81" s="207">
        <f>INDEX($A$78:$H$85,MATCH($L81,$B$78:$B$85,0),MATCH($BC$77,$A$78:$H$78,0))*고양시_Modal_split!K$3 * 0.01</f>
        <v>1.8342875317164113E-5</v>
      </c>
      <c r="BL81" s="207">
        <f>INDEX($A$78:$H$85,MATCH($L81,$B$78:$B$85,0),MATCH($BC$77,$A$78:$H$78,0))*고양시_Modal_split!L$3 * 0.01</f>
        <v>3.6930322305223746E-4</v>
      </c>
      <c r="BM81" s="207">
        <f>INDEX($A$78:$H$85,MATCH($L81,$B$78:$B$85,0),MATCH($BC$77,$A$78:$H$78,0))*고양시_Modal_split!M$3 * 0.01</f>
        <v>2.8125742152984971E-5</v>
      </c>
      <c r="BN81" s="207">
        <f>INDEX($A$78:$H$85,MATCH($L81,$B$78:$B$85,0),MATCH($BC$77,$A$78:$H$78,0))*고양시_Modal_split!N$3 * 0.01</f>
        <v>1.2228583544776076E-5</v>
      </c>
      <c r="BO81" s="207">
        <f>INDEX($A$78:$H$85,MATCH($L81,$B$78:$B$85,0),MATCH($BC$77,$A$78:$H$78,0))*고양시_Modal_split!O$3 * 0.01</f>
        <v>2.2011450380596932E-5</v>
      </c>
      <c r="BP81" s="207">
        <f>INDEX($A$78:$H$85,MATCH($L81,$B$78:$B$85,0),MATCH($BC$77,$A$78:$H$78,0))*고양시_Modal_split!P$3 * 0.01</f>
        <v>1.2228583544776074E-2</v>
      </c>
      <c r="BQ81" s="207">
        <f>INDEX($A$78:$H$85,MATCH($L38,$B$78:$B$85,0),MATCH($BQ$77,$A$78:$H$78,0))*고양시_Modal_split!C$3 * 0.01</f>
        <v>1.2935123927363182E-4</v>
      </c>
      <c r="BR81" s="207">
        <f>INDEX($A$78:$H$85,MATCH($L38,$B$78:$B$85,0),MATCH($BQ$77,$A$78:$H$78,0))*고양시_Modal_split!D$3 * 0.01</f>
        <v>2.1726388510853231E-2</v>
      </c>
      <c r="BS81" s="207">
        <f>INDEX($A$78:$H$85,MATCH($L38,$B$78:$B$85,0),MATCH($BQ$77,$A$78:$H$78,0))*고양시_Modal_split!E$3 * 0.01</f>
        <v>2.6286019695248753E-3</v>
      </c>
      <c r="BT81" s="207">
        <f>INDEX($A$78:$H$85,MATCH($L38,$B$78:$B$85,0),MATCH($BQ$77,$A$78:$H$78,0))*고양시_Modal_split!F$3 * 0.01</f>
        <v>4.2362530862114422E-3</v>
      </c>
      <c r="BU81" s="207">
        <f>INDEX($A$78:$H$85,MATCH($L38,$B$78:$B$85,0),MATCH($BQ$77,$A$78:$H$78,0))*고양시_Modal_split!G$3 * 0.01</f>
        <v>4.2501121475621887E-4</v>
      </c>
      <c r="BV81" s="207">
        <f>INDEX($A$78:$H$85,MATCH($L38,$B$78:$B$85,0),MATCH($BQ$77,$A$78:$H$78,0))*고양시_Modal_split!H$3 * 0.01</f>
        <v>4.6196871169154227E-6</v>
      </c>
      <c r="BW81" s="207">
        <f>INDEX($A$78:$H$85,MATCH($L38,$B$78:$B$85,0),MATCH($BQ$77,$A$78:$H$78,0))*고양시_Modal_split!I$3 * 0.01</f>
        <v>1.2842730185024874E-3</v>
      </c>
      <c r="BX81" s="207">
        <f>INDEX($A$78:$H$85,MATCH($L38,$B$78:$B$85,0),MATCH($BQ$77,$A$78:$H$78,0))*고양시_Modal_split!J$3 * 0.01</f>
        <v>1.4062327583890546E-2</v>
      </c>
      <c r="BY81" s="207">
        <f>INDEX($A$78:$H$85,MATCH($L38,$B$78:$B$85,0),MATCH($BQ$77,$A$78:$H$78,0))*고양시_Modal_split!K$3 * 0.01</f>
        <v>6.9295306753731337E-5</v>
      </c>
      <c r="BZ81" s="207">
        <f>INDEX($A$78:$H$85,MATCH($L38,$B$78:$B$85,0),MATCH($BQ$77,$A$78:$H$78,0))*고양시_Modal_split!L$3 * 0.01</f>
        <v>1.3951455093084578E-3</v>
      </c>
      <c r="CA81" s="207">
        <f>INDEX($A$78:$H$85,MATCH($L38,$B$78:$B$85,0),MATCH($BQ$77,$A$78:$H$78,0))*고양시_Modal_split!M$3 * 0.01</f>
        <v>1.0625280368905472E-4</v>
      </c>
      <c r="CB81" s="207">
        <f>INDEX($A$78:$H$85,MATCH($L38,$B$78:$B$85,0),MATCH($BQ$77,$A$78:$H$78,0))*고양시_Modal_split!N$3 * 0.01</f>
        <v>4.6196871169154227E-5</v>
      </c>
      <c r="CC81" s="207">
        <f>INDEX($A$78:$H$85,MATCH($L38,$B$78:$B$85,0),MATCH($BQ$77,$A$78:$H$78,0))*고양시_Modal_split!O$3 * 0.01</f>
        <v>8.3154368104477601E-5</v>
      </c>
      <c r="CD81" s="207">
        <f>INDEX($A$78:$H$85,MATCH($L38,$B$78:$B$85,0),MATCH($BQ$77,$A$78:$H$78,0))*고양시_Modal_split!P$3 * 0.01</f>
        <v>4.6196871169154233E-2</v>
      </c>
      <c r="CE81" s="304">
        <f t="shared" si="23"/>
        <v>0.45422829005400001</v>
      </c>
      <c r="CF81" s="304">
        <f t="shared" si="19"/>
        <v>76.29413029014151</v>
      </c>
      <c r="CG81" s="304">
        <f t="shared" si="19"/>
        <v>9.2305677514544993</v>
      </c>
      <c r="CH81" s="304">
        <f t="shared" si="19"/>
        <v>14.8759764992685</v>
      </c>
      <c r="CI81" s="304">
        <f t="shared" si="19"/>
        <v>1.4924643816059999</v>
      </c>
      <c r="CJ81" s="304">
        <f t="shared" si="19"/>
        <v>1.6222438930500002E-2</v>
      </c>
      <c r="CK81" s="304">
        <f t="shared" si="19"/>
        <v>4.5098380226790002</v>
      </c>
      <c r="CL81" s="304">
        <f t="shared" si="19"/>
        <v>49.381104104442002</v>
      </c>
      <c r="CM81" s="304">
        <f t="shared" si="19"/>
        <v>0.24333658395750002</v>
      </c>
      <c r="CN81" s="304">
        <f t="shared" si="19"/>
        <v>4.8991765570109997</v>
      </c>
      <c r="CO81" s="304">
        <f t="shared" si="19"/>
        <v>0.37311609540149998</v>
      </c>
      <c r="CP81" s="304">
        <f t="shared" si="19"/>
        <v>0.16222438930500002</v>
      </c>
      <c r="CQ81" s="304">
        <f t="shared" si="19"/>
        <v>0.29200390074900001</v>
      </c>
      <c r="CR81" s="304">
        <f t="shared" si="19"/>
        <v>162.22438930500002</v>
      </c>
      <c r="CS81" s="305">
        <f t="shared" si="24"/>
        <v>0</v>
      </c>
      <c r="CV81" s="265"/>
      <c r="CW81" s="265" t="s">
        <v>715</v>
      </c>
      <c r="CX81" s="267">
        <f>INDEX($M$77:$Z$85,MATCH($CW81,$L$77:$L$85,0),MATCH(CX$78,$M$78:$Z$78,0))/INDEX(고양시_재차인원!$D$4:$H$35,MATCH("고양시",고양시_재차인원!$B$4:$B$35,0),MATCH($CX$77,고양시_재차인원!$D$4:$H$4,0))</f>
        <v>7.8701103760165232</v>
      </c>
      <c r="CY81" s="267">
        <f>INDEX($M$77:$Z$85,MATCH($CW81,$L$77:$L$85,0),MATCH(CY$78,$M$78:$Z$78,0))/INDEX(고양시_재차인원!$K$4:$O$20,MATCH("경기도",고양시_재차인원!$K$4:$K$20,0),MATCH(CY$78,고양시_재차인원!$K$4:$O$4,0))</f>
        <v>6.5100181936876856E-5</v>
      </c>
      <c r="CZ81" s="267">
        <f>INDEX($M$77:$Z$85,MATCH($CW81,$L$77:$L$85,0),MATCH(CZ$78,$M$78:$Z$78,0))/INDEX(고양시_재차인원!$K$4:$O$20,MATCH("경기도",고양시_재차인원!$K$4:$K$20,0),MATCH(CZ$78,고양시_재차인원!$K$4:$O$4,0))</f>
        <v>1.8097850578451768E-2</v>
      </c>
      <c r="DA81" s="267">
        <f>INDEX($M$77:$Z$85,MATCH($CW81,$L$77:$L$85,0),MATCH(DA$78,$M$78:$Z$78,0))/INDEX(고양시_재차인원!$D$4:$H$35,MATCH("고양시",고양시_재차인원!$B$4:$B$35,0),MATCH($CX$77,고양시_재차인원!$D$4:$H$4,0))</f>
        <v>0.50537387487922392</v>
      </c>
      <c r="DB81" s="267">
        <f>INDEX($AA$77:$AN$85,MATCH($CW81,$L$77:$L$85,0),MATCH(DB$78,$AA$78:$AN$78,0))/INDEX(고양시_재차인원!$D$4:$H$35,MATCH("고양시",고양시_재차인원!$B$4:$B$35,0),MATCH($DB$77,고양시_재차인원!$D$4:$H$4,0))</f>
        <v>45.242915415904868</v>
      </c>
      <c r="DC81" s="267">
        <f>INDEX($AA$77:$AN$85,MATCH($CW81,$L$77:$L$85,0),MATCH(DC$78,$AA$78:$AN$78,0))/INDEX(고양시_재차인원!$K$4:$O$20,MATCH("경기도",고양시_재차인원!$K$4:$K$20,0),MATCH(DC$78,고양시_재차인원!$K$4:$O$4,0))</f>
        <v>4.7114333498321194E-4</v>
      </c>
      <c r="DD81" s="267">
        <f>INDEX($AA$77:$AN$85,MATCH($CW81,$L$77:$L$85,0),MATCH(DD$78,$AA$78:$AN$78,0))/INDEX(고양시_재차인원!$K$4:$O$20,MATCH("경기도",고양시_재차인원!$K$4:$K$20,0),MATCH(DD$78,고양시_재차인원!$K$4:$O$4,0))</f>
        <v>0.13097784712533289</v>
      </c>
      <c r="DE81" s="267">
        <f>INDEX($AA$77:$AN$85,MATCH($CW81,$L$77:$L$85,0),MATCH(DE$78,$AA$78:$AN$78,0))/INDEX(고양시_재차인원!$D$4:$H$35,MATCH("고양시",고양시_재차인원!$B$4:$B$35,0),MATCH($DB$77,고양시_재차인원!$D$4:$H$4,0))</f>
        <v>2.9052435584952727</v>
      </c>
      <c r="DF81" s="267">
        <f>INDEX($AO$77:$BB$85,MATCH($CW81,$L$77:$L$85,0),MATCH(DF$78,$AO$78:$BB$78,0))/INDEX(고양시_재차인원!$D$4:$H$35,MATCH("고양시",고양시_재차인원!$B$4:$B$35,0),MATCH($DF$77,고양시_재차인원!$D$4:$H$4,0))</f>
        <v>2.8150911086347565</v>
      </c>
      <c r="DG81" s="267">
        <f>INDEX($AO$77:$BB$85,MATCH($CW81,$L$77:$L$85,0),MATCH(DG$78,$AO$78:$BB$78,0))/INDEX(고양시_재차인원!$K$4:$O$20,MATCH("경기도",고양시_재차인원!$K$4:$K$20,0),MATCH(DG$78,고양시_재차인원!$K$4:$O$4,0))</f>
        <v>2.7028326950304008E-5</v>
      </c>
      <c r="DH81" s="267">
        <f>INDEX($AO$77:$BB$85,MATCH($CW81,$L$77:$L$85,0),MATCH(DH$78,$AO$78:$BB$78,0))/INDEX(고양시_재차인원!$K$4:$O$20,MATCH("경기도",고양시_재차인원!$K$4:$K$20,0),MATCH(DH$78,고양시_재차인원!$K$4:$O$4,0))</f>
        <v>7.5138748921845131E-3</v>
      </c>
      <c r="DI81" s="267">
        <f>INDEX($AO$77:$BB$85,MATCH($CW81,$L$77:$L$85,0),MATCH(DI$78,$AO$78:$BB$78,0))/INDEX(고양시_재차인원!$D$4:$H$35,MATCH("고양시",고양시_재차인원!$B$4:$B$35,0),MATCH($DF$77,고양시_재차인원!$D$4:$H$4,0))</f>
        <v>0.18076919302736474</v>
      </c>
      <c r="DJ81" s="267">
        <f>INDEX($BC$77:$BP$85,MATCH($CW81,$L$77:$L$85,0),MATCH(DJ$78,$BC$78:$BP$78,0))/INDEX(고양시_재차인원!$D$4:$H$35,MATCH("고양시",고양시_재차인원!$B$4:$B$35,0),MATCH($DJ$77,고양시_재차인원!$D$4:$H$4,0))</f>
        <v>4.2287520890501376E-3</v>
      </c>
      <c r="DK81" s="267">
        <f>INDEX($BC$77:$BP$85,MATCH($CW81,$L$77:$L$85,0),MATCH(DK$78,$BC$78:$BP$78,0))/INDEX(고양시_재차인원!$K$4:$O$20,MATCH("경기도",고양시_재차인원!$K$4:$K$20,0),MATCH(DK$78,고양시_재차인원!$K$4:$O$4,0))</f>
        <v>4.247510783180297E-8</v>
      </c>
      <c r="DL81" s="267">
        <f>INDEX($BC$77:$BP$85,MATCH($CW81,$L$77:$L$85,0),MATCH(DL$78,$BC$78:$BP$78,0))/INDEX(고양시_재차인원!$K$4:$O$20,MATCH("경기도",고양시_재차인원!$K$4:$K$20,0),MATCH(DL$78,고양시_재차인원!$K$4:$O$4,0))</f>
        <v>1.1808079977241224E-5</v>
      </c>
      <c r="DM81" s="267">
        <f>INDEX($BC$77:$BP$85,MATCH($CW81,$L$77:$L$85,0),MATCH(DM$78,$BC$78:$BP$78,0))/INDEX(고양시_재차인원!$D$4:$H$35,MATCH("고양시",고양시_재차인원!$B$4:$B$35,0),MATCH($DJ$77,고양시_재차인원!$D$4:$H$4,0))</f>
        <v>2.7154648753840988E-4</v>
      </c>
      <c r="DN81" s="267">
        <f>INDEX($BQ$77:$CD$85,MATCH($CW81,$L$77:$L$85,0),MATCH(DN$78,$BQ$78:$CD$78,0))/INDEX(고양시_재차인원!$D$4:$H$35,MATCH("고양시",고양시_재차인원!$B$4:$B$35,0),MATCH($DN$77,고양시_재차인원!$D$4:$H$4,0))</f>
        <v>1.7243165484804149E-2</v>
      </c>
      <c r="DO81" s="267">
        <f>INDEX($BQ$77:$CD$85,MATCH($CW81,$L$77:$L$85,0),MATCH(DO$78,$BQ$78:$CD$78,0))/INDEX(고양시_재차인원!$K$4:$O$20,MATCH("경기도",고양시_재차인원!$K$4:$K$20,0),MATCH(DO$78,고양시_재차인원!$K$4:$O$4,0))</f>
        <v>1.6046151847570069E-7</v>
      </c>
      <c r="DP81" s="267">
        <f>INDEX($BQ$77:$CD$85,MATCH($CW81,$L$77:$L$85,0),MATCH(DP$78,$BQ$78:$CD$78,0))/INDEX(고양시_재차인원!$K$4:$O$20,MATCH("경기도",고양시_재차인원!$K$4:$K$20,0),MATCH(DP$78,고양시_재차인원!$K$4:$O$4,0))</f>
        <v>4.4608302136244785E-5</v>
      </c>
      <c r="DQ81" s="267">
        <f>INDEX($BQ$77:$CD$85,MATCH($CW81,$L$77:$L$85,0),MATCH(DQ$78,$BQ$78:$CD$78,0))/INDEX(고양시_재차인원!$D$4:$H$35,MATCH("고양시",고양시_재차인원!$B$4:$B$35,0),MATCH($DN$77,고양시_재차인원!$D$4:$H$4,0))</f>
        <v>1.1072583407209981E-3</v>
      </c>
      <c r="DR81" s="270">
        <f t="shared" si="25"/>
        <v>55.949588818129996</v>
      </c>
      <c r="DS81" s="270">
        <f t="shared" si="20"/>
        <v>5.6347478049670026E-4</v>
      </c>
      <c r="DT81" s="270">
        <f t="shared" si="20"/>
        <v>0.15664598897808266</v>
      </c>
      <c r="DU81" s="270">
        <f t="shared" si="20"/>
        <v>3.5927654312301209</v>
      </c>
      <c r="DW81" s="278"/>
      <c r="DX81" s="278" t="s">
        <v>715</v>
      </c>
      <c r="DY81" s="281">
        <f t="shared" si="26"/>
        <v>59.542354249360116</v>
      </c>
      <c r="DZ81" s="281">
        <f t="shared" si="27"/>
        <v>0.15720946375857936</v>
      </c>
      <c r="EB81" s="278"/>
      <c r="EC81" s="278" t="s">
        <v>670</v>
      </c>
      <c r="ED81" s="281">
        <f t="shared" si="28"/>
        <v>59.542354249360116</v>
      </c>
      <c r="EE81" s="281">
        <f t="shared" si="21"/>
        <v>0.15720946375857936</v>
      </c>
      <c r="FE81" t="s">
        <v>12</v>
      </c>
      <c r="FF81" t="s">
        <v>611</v>
      </c>
      <c r="FG81">
        <v>5231.5074000000004</v>
      </c>
      <c r="FH81" s="277" t="e">
        <f t="shared" si="29"/>
        <v>#DIV/0!</v>
      </c>
    </row>
    <row r="82" spans="1:164" ht="37.5">
      <c r="A82" s="205"/>
      <c r="B82" s="205" t="s">
        <v>719</v>
      </c>
      <c r="C82" s="400">
        <f>$D14*KTDB_TripDistribution_2025!T$12 * (1+KTDB_발생량도착량_증가율!$C$7)</f>
        <v>0</v>
      </c>
      <c r="D82" s="400">
        <f>$D14*KTDB_TripDistribution_2025!U$12 * (1+KTDB_발생량도착량_증가율!$C$7)</f>
        <v>0</v>
      </c>
      <c r="E82" s="400">
        <f>$D14*KTDB_TripDistribution_2025!V$12 * (1+KTDB_발생량도착량_증가율!$C$7)</f>
        <v>0</v>
      </c>
      <c r="F82" s="400">
        <f>$D14*KTDB_TripDistribution_2025!W$12 * (1+KTDB_발생량도착량_증가율!$C$7)</f>
        <v>0</v>
      </c>
      <c r="G82" s="400">
        <f>$D14*KTDB_TripDistribution_2025!X$12 * (1+KTDB_발생량도착량_증가율!$C$7)</f>
        <v>0</v>
      </c>
      <c r="H82" s="400">
        <f>$D14*KTDB_TripDistribution_2025!Y$12 * (1+KTDB_발생량도착량_증가율!$C$7)</f>
        <v>0</v>
      </c>
      <c r="J82" s="230">
        <f t="shared" si="18"/>
        <v>0</v>
      </c>
      <c r="K82" s="206"/>
      <c r="L82" s="206" t="s">
        <v>719</v>
      </c>
      <c r="M82" s="206">
        <f>INDEX($A$78:$H$85,MATCH($L82,$B$78:$B$85,0),MATCH($M$77,$A$78:$H$78,0))*고양시_Modal_split!C$3 * 0.01</f>
        <v>0</v>
      </c>
      <c r="N82" s="206">
        <f>INDEX($A$78:$H$85,MATCH($L82,$B$78:$B$85,0),MATCH($M$77,$A$78:$H$78,0))*고양시_Modal_split!D$3 * 0.01</f>
        <v>0</v>
      </c>
      <c r="O82" s="206">
        <f>INDEX($A$78:$H$85,MATCH($L82,$B$78:$B$85,0),MATCH($M$77,$A$78:$H$78,0))*고양시_Modal_split!E$3 * 0.01</f>
        <v>0</v>
      </c>
      <c r="P82" s="206">
        <f>INDEX($A$78:$H$85,MATCH($L82,$B$78:$B$85,0),MATCH($M$77,$A$78:$H$78,0))*고양시_Modal_split!F$3 * 0.01</f>
        <v>0</v>
      </c>
      <c r="Q82" s="206">
        <f>INDEX($A$78:$H$85,MATCH($L82,$B$78:$B$85,0),MATCH($M$77,$A$78:$H$78,0))*고양시_Modal_split!G$3 * 0.01</f>
        <v>0</v>
      </c>
      <c r="R82" s="206">
        <f>INDEX($A$78:$H$85,MATCH($L82,$B$78:$B$85,0),MATCH($M$77,$A$78:$H$78,0))*고양시_Modal_split!H$3 * 0.01</f>
        <v>0</v>
      </c>
      <c r="S82" s="206">
        <f>INDEX($A$78:$H$85,MATCH($L82,$B$78:$B$85,0),MATCH($M$77,$A$78:$H$78,0))*고양시_Modal_split!I$3 * 0.01</f>
        <v>0</v>
      </c>
      <c r="T82" s="206">
        <f>INDEX($A$78:$H$85,MATCH($L82,$B$78:$B$85,0),MATCH($M$77,$A$78:$H$78,0))*고양시_Modal_split!J$3 * 0.01</f>
        <v>0</v>
      </c>
      <c r="U82" s="206">
        <f>INDEX($A$78:$H$85,MATCH($L82,$B$78:$B$85,0),MATCH($M$77,$A$78:$H$78,0))*고양시_Modal_split!K$3 * 0.01</f>
        <v>0</v>
      </c>
      <c r="V82" s="206">
        <f>INDEX($A$78:$H$85,MATCH($L82,$B$78:$B$85,0),MATCH($M$77,$A$78:$H$78,0))*고양시_Modal_split!L$3 * 0.01</f>
        <v>0</v>
      </c>
      <c r="W82" s="206">
        <f>INDEX($A$78:$H$85,MATCH($L82,$B$78:$B$85,0),MATCH($M$77,$A$78:$H$78,0))*고양시_Modal_split!M$3 * 0.01</f>
        <v>0</v>
      </c>
      <c r="X82" s="206">
        <f>INDEX($A$78:$H$85,MATCH($L82,$B$78:$B$85,0),MATCH($M$77,$A$78:$H$78,0))*고양시_Modal_split!N$3 * 0.01</f>
        <v>0</v>
      </c>
      <c r="Y82" s="206">
        <f>INDEX($A$78:$H$85,MATCH($L82,$B$78:$B$85,0),MATCH($M$77,$A$78:$H$78,0))*고양시_Modal_split!O$3 * 0.01</f>
        <v>0</v>
      </c>
      <c r="Z82" s="209">
        <f>INDEX($A$78:$H$85,MATCH($L82,$B$78:$B$85,0),MATCH($M$77,$A$78:$H$78,0))*고양시_Modal_split!P$3 * 0.01</f>
        <v>0</v>
      </c>
      <c r="AA82" s="207">
        <f>INDEX($A$78:$H$85,MATCH($L82,$B$78:$B$85,0),MATCH($AA$77,$A$78:$H$78,0))*고양시_Modal_split!C$3 * 0.01</f>
        <v>0</v>
      </c>
      <c r="AB82" s="207">
        <f>INDEX($A$78:$H$85,MATCH($L82,$B$78:$B$85,0),MATCH($AA$77,$A$78:$H$78,0))*고양시_Modal_split!D$3 * 0.01</f>
        <v>0</v>
      </c>
      <c r="AC82" s="207">
        <f>INDEX($A$78:$H$85,MATCH($L82,$B$78:$B$85,0),MATCH($AA$77,$A$78:$H$78,0))*고양시_Modal_split!E$3 * 0.01</f>
        <v>0</v>
      </c>
      <c r="AD82" s="207">
        <f>INDEX($A$78:$H$85,MATCH($L82,$B$78:$B$85,0),MATCH($AA$77,$A$78:$H$78,0))*고양시_Modal_split!F$3 * 0.01</f>
        <v>0</v>
      </c>
      <c r="AE82" s="207">
        <f>INDEX($A$78:$H$85,MATCH($L82,$B$78:$B$85,0),MATCH($AA$77,$A$78:$H$78,0))*고양시_Modal_split!G$3 * 0.01</f>
        <v>0</v>
      </c>
      <c r="AF82" s="207">
        <f>INDEX($A$78:$H$85,MATCH($L82,$B$78:$B$85,0),MATCH($AA$77,$A$78:$H$78,0))*고양시_Modal_split!H$3 * 0.01</f>
        <v>0</v>
      </c>
      <c r="AG82" s="207">
        <f>INDEX($A$78:$H$85,MATCH($L82,$B$78:$B$85,0),MATCH($AA$77,$A$78:$H$78,0))*고양시_Modal_split!I$3 * 0.01</f>
        <v>0</v>
      </c>
      <c r="AH82" s="207">
        <f>INDEX($A$78:$H$85,MATCH($L82,$B$78:$B$85,0),MATCH($AA$77,$A$78:$H$78,0))*고양시_Modal_split!J$3 * 0.01</f>
        <v>0</v>
      </c>
      <c r="AI82" s="207">
        <f>INDEX($A$78:$H$85,MATCH($L82,$B$78:$B$85,0),MATCH($AA$77,$A$78:$H$78,0))*고양시_Modal_split!K$3 * 0.01</f>
        <v>0</v>
      </c>
      <c r="AJ82" s="207">
        <f>INDEX($A$78:$H$85,MATCH($L82,$B$78:$B$85,0),MATCH($AA$77,$A$78:$H$78,0))*고양시_Modal_split!L$3 * 0.01</f>
        <v>0</v>
      </c>
      <c r="AK82" s="207">
        <f>INDEX($A$78:$H$85,MATCH($L82,$B$78:$B$85,0),MATCH($AA$77,$A$78:$H$78,0))*고양시_Modal_split!M$3 * 0.01</f>
        <v>0</v>
      </c>
      <c r="AL82" s="207">
        <f>INDEX($A$78:$H$85,MATCH($L82,$B$78:$B$85,0),MATCH($AA$77,$A$78:$H$78,0))*고양시_Modal_split!N$3 * 0.01</f>
        <v>0</v>
      </c>
      <c r="AM82" s="207">
        <f>INDEX($A$78:$H$85,MATCH($L82,$B$78:$B$85,0),MATCH($AA$77,$A$78:$H$78,0))*고양시_Modal_split!O$3 * 0.01</f>
        <v>0</v>
      </c>
      <c r="AN82" s="207">
        <f>INDEX($A$78:$H$85,MATCH($L82,$B$78:$B$85,0),MATCH($AA$77,$A$78:$H$78,0))*고양시_Modal_split!P$3 * 0.01</f>
        <v>0</v>
      </c>
      <c r="AO82" s="303">
        <f>INDEX($A$78:$H$85,MATCH($L39,$B$78:$B$85,0),MATCH($AO$77,$A$78:$H$78,0))*고양시_Modal_split!C$3 * 0.01</f>
        <v>0</v>
      </c>
      <c r="AP82" s="303">
        <f>INDEX($A$78:$H$85,MATCH($L39,$B$78:$B$85,0),MATCH($AO$77,$A$78:$H$78,0))*고양시_Modal_split!D$3 * 0.01</f>
        <v>0</v>
      </c>
      <c r="AQ82" s="303">
        <f>INDEX($A$78:$H$85,MATCH($L39,$B$78:$B$85,0),MATCH($AO$77,$A$78:$H$78,0))*고양시_Modal_split!E$3 * 0.01</f>
        <v>0</v>
      </c>
      <c r="AR82" s="303">
        <f>INDEX($A$78:$H$85,MATCH($L39,$B$78:$B$85,0),MATCH($AO$77,$A$78:$H$78,0))*고양시_Modal_split!F$3 * 0.01</f>
        <v>0</v>
      </c>
      <c r="AS82" s="303">
        <f>INDEX($A$78:$H$85,MATCH($L39,$B$78:$B$85,0),MATCH($AO$77,$A$78:$H$78,0))*고양시_Modal_split!G$3 * 0.01</f>
        <v>0</v>
      </c>
      <c r="AT82" s="303">
        <f>INDEX($A$78:$H$85,MATCH($L39,$B$78:$B$85,0),MATCH($AO$77,$A$78:$H$78,0))*고양시_Modal_split!H$3 * 0.01</f>
        <v>0</v>
      </c>
      <c r="AU82" s="303">
        <f>INDEX($A$78:$H$85,MATCH($L39,$B$78:$B$85,0),MATCH($AO$77,$A$78:$H$78,0))*고양시_Modal_split!I$3 * 0.01</f>
        <v>0</v>
      </c>
      <c r="AV82" s="303">
        <f>INDEX($A$78:$H$85,MATCH($L39,$B$78:$B$85,0),MATCH($AO$77,$A$78:$H$78,0))*고양시_Modal_split!J$3 * 0.01</f>
        <v>0</v>
      </c>
      <c r="AW82" s="303">
        <f>INDEX($A$78:$H$85,MATCH($L39,$B$78:$B$85,0),MATCH($AO$77,$A$78:$H$78,0))*고양시_Modal_split!K$3 * 0.01</f>
        <v>0</v>
      </c>
      <c r="AX82" s="303">
        <f>INDEX($A$78:$H$85,MATCH($L39,$B$78:$B$85,0),MATCH($AO$77,$A$78:$H$78,0))*고양시_Modal_split!L$3 * 0.01</f>
        <v>0</v>
      </c>
      <c r="AY82" s="303">
        <f>INDEX($A$78:$H$85,MATCH($L39,$B$78:$B$85,0),MATCH($AO$77,$A$78:$H$78,0))*고양시_Modal_split!M$3 * 0.01</f>
        <v>0</v>
      </c>
      <c r="AZ82" s="303">
        <f>INDEX($A$78:$H$85,MATCH($L39,$B$78:$B$85,0),MATCH($AO$77,$A$78:$H$78,0))*고양시_Modal_split!N$3 * 0.01</f>
        <v>0</v>
      </c>
      <c r="BA82" s="207">
        <f>INDEX($A$78:$H$85,MATCH($L39,$B$78:$B$85,0),MATCH($AO$77,$A$78:$H$78,0))*고양시_Modal_split!O$3 * 0.01</f>
        <v>0</v>
      </c>
      <c r="BB82" s="207">
        <f>INDEX($A$78:$H$85,MATCH($L39,$B$78:$B$85,0),MATCH($AO$77,$A$78:$H$78,0))*고양시_Modal_split!P$3 * 0.01</f>
        <v>0</v>
      </c>
      <c r="BC82" s="207">
        <f>INDEX($A$78:$H$85,MATCH($L82,$B$78:$B$85,0),MATCH($BC$77,$A$78:$H$78,0))*고양시_Modal_split!C$3 * 0.01</f>
        <v>0</v>
      </c>
      <c r="BD82" s="207">
        <f>INDEX($A$78:$H$85,MATCH($L82,$B$78:$B$85,0),MATCH($BC$77,$A$78:$H$78,0))*고양시_Modal_split!D$3 * 0.01</f>
        <v>0</v>
      </c>
      <c r="BE82" s="207">
        <f>INDEX($A$78:$H$85,MATCH($L82,$B$78:$B$85,0),MATCH($BC$77,$A$78:$H$78,0))*고양시_Modal_split!E$3 * 0.01</f>
        <v>0</v>
      </c>
      <c r="BF82" s="207">
        <f>INDEX($A$78:$H$85,MATCH($L82,$B$78:$B$85,0),MATCH($BC$77,$A$78:$H$78,0))*고양시_Modal_split!F$3 * 0.01</f>
        <v>0</v>
      </c>
      <c r="BG82" s="207">
        <f>INDEX($A$78:$H$85,MATCH($L82,$B$78:$B$85,0),MATCH($BC$77,$A$78:$H$78,0))*고양시_Modal_split!G$3 * 0.01</f>
        <v>0</v>
      </c>
      <c r="BH82" s="207">
        <f>INDEX($A$78:$H$85,MATCH($L82,$B$78:$B$85,0),MATCH($BC$77,$A$78:$H$78,0))*고양시_Modal_split!H$3 * 0.01</f>
        <v>0</v>
      </c>
      <c r="BI82" s="207">
        <f>INDEX($A$78:$H$85,MATCH($L82,$B$78:$B$85,0),MATCH($BC$77,$A$78:$H$78,0))*고양시_Modal_split!I$3 * 0.01</f>
        <v>0</v>
      </c>
      <c r="BJ82" s="207">
        <f>INDEX($A$78:$H$85,MATCH($L82,$B$78:$B$85,0),MATCH($BC$77,$A$78:$H$78,0))*고양시_Modal_split!J$3 * 0.01</f>
        <v>0</v>
      </c>
      <c r="BK82" s="207">
        <f>INDEX($A$78:$H$85,MATCH($L82,$B$78:$B$85,0),MATCH($BC$77,$A$78:$H$78,0))*고양시_Modal_split!K$3 * 0.01</f>
        <v>0</v>
      </c>
      <c r="BL82" s="207">
        <f>INDEX($A$78:$H$85,MATCH($L82,$B$78:$B$85,0),MATCH($BC$77,$A$78:$H$78,0))*고양시_Modal_split!L$3 * 0.01</f>
        <v>0</v>
      </c>
      <c r="BM82" s="207">
        <f>INDEX($A$78:$H$85,MATCH($L82,$B$78:$B$85,0),MATCH($BC$77,$A$78:$H$78,0))*고양시_Modal_split!M$3 * 0.01</f>
        <v>0</v>
      </c>
      <c r="BN82" s="207">
        <f>INDEX($A$78:$H$85,MATCH($L82,$B$78:$B$85,0),MATCH($BC$77,$A$78:$H$78,0))*고양시_Modal_split!N$3 * 0.01</f>
        <v>0</v>
      </c>
      <c r="BO82" s="207">
        <f>INDEX($A$78:$H$85,MATCH($L82,$B$78:$B$85,0),MATCH($BC$77,$A$78:$H$78,0))*고양시_Modal_split!O$3 * 0.01</f>
        <v>0</v>
      </c>
      <c r="BP82" s="207">
        <f>INDEX($A$78:$H$85,MATCH($L82,$B$78:$B$85,0),MATCH($BC$77,$A$78:$H$78,0))*고양시_Modal_split!P$3 * 0.01</f>
        <v>0</v>
      </c>
      <c r="BQ82" s="207">
        <f>INDEX($A$78:$H$85,MATCH($L39,$B$78:$B$85,0),MATCH($BQ$77,$A$78:$H$78,0))*고양시_Modal_split!C$3 * 0.01</f>
        <v>0</v>
      </c>
      <c r="BR82" s="207">
        <f>INDEX($A$78:$H$85,MATCH($L39,$B$78:$B$85,0),MATCH($BQ$77,$A$78:$H$78,0))*고양시_Modal_split!D$3 * 0.01</f>
        <v>0</v>
      </c>
      <c r="BS82" s="207">
        <f>INDEX($A$78:$H$85,MATCH($L39,$B$78:$B$85,0),MATCH($BQ$77,$A$78:$H$78,0))*고양시_Modal_split!E$3 * 0.01</f>
        <v>0</v>
      </c>
      <c r="BT82" s="207">
        <f>INDEX($A$78:$H$85,MATCH($L39,$B$78:$B$85,0),MATCH($BQ$77,$A$78:$H$78,0))*고양시_Modal_split!F$3 * 0.01</f>
        <v>0</v>
      </c>
      <c r="BU82" s="207">
        <f>INDEX($A$78:$H$85,MATCH($L39,$B$78:$B$85,0),MATCH($BQ$77,$A$78:$H$78,0))*고양시_Modal_split!G$3 * 0.01</f>
        <v>0</v>
      </c>
      <c r="BV82" s="207">
        <f>INDEX($A$78:$H$85,MATCH($L39,$B$78:$B$85,0),MATCH($BQ$77,$A$78:$H$78,0))*고양시_Modal_split!H$3 * 0.01</f>
        <v>0</v>
      </c>
      <c r="BW82" s="207">
        <f>INDEX($A$78:$H$85,MATCH($L39,$B$78:$B$85,0),MATCH($BQ$77,$A$78:$H$78,0))*고양시_Modal_split!I$3 * 0.01</f>
        <v>0</v>
      </c>
      <c r="BX82" s="207">
        <f>INDEX($A$78:$H$85,MATCH($L39,$B$78:$B$85,0),MATCH($BQ$77,$A$78:$H$78,0))*고양시_Modal_split!J$3 * 0.01</f>
        <v>0</v>
      </c>
      <c r="BY82" s="207">
        <f>INDEX($A$78:$H$85,MATCH($L39,$B$78:$B$85,0),MATCH($BQ$77,$A$78:$H$78,0))*고양시_Modal_split!K$3 * 0.01</f>
        <v>0</v>
      </c>
      <c r="BZ82" s="207">
        <f>INDEX($A$78:$H$85,MATCH($L39,$B$78:$B$85,0),MATCH($BQ$77,$A$78:$H$78,0))*고양시_Modal_split!L$3 * 0.01</f>
        <v>0</v>
      </c>
      <c r="CA82" s="207">
        <f>INDEX($A$78:$H$85,MATCH($L39,$B$78:$B$85,0),MATCH($BQ$77,$A$78:$H$78,0))*고양시_Modal_split!M$3 * 0.01</f>
        <v>0</v>
      </c>
      <c r="CB82" s="207">
        <f>INDEX($A$78:$H$85,MATCH($L39,$B$78:$B$85,0),MATCH($BQ$77,$A$78:$H$78,0))*고양시_Modal_split!N$3 * 0.01</f>
        <v>0</v>
      </c>
      <c r="CC82" s="207">
        <f>INDEX($A$78:$H$85,MATCH($L39,$B$78:$B$85,0),MATCH($BQ$77,$A$78:$H$78,0))*고양시_Modal_split!O$3 * 0.01</f>
        <v>0</v>
      </c>
      <c r="CD82" s="207">
        <f>INDEX($A$78:$H$85,MATCH($L39,$B$78:$B$85,0),MATCH($BQ$77,$A$78:$H$78,0))*고양시_Modal_split!P$3 * 0.01</f>
        <v>0</v>
      </c>
      <c r="CE82" s="304">
        <f t="shared" si="23"/>
        <v>0</v>
      </c>
      <c r="CF82" s="304">
        <f t="shared" si="19"/>
        <v>0</v>
      </c>
      <c r="CG82" s="304">
        <f t="shared" si="19"/>
        <v>0</v>
      </c>
      <c r="CH82" s="304">
        <f t="shared" si="19"/>
        <v>0</v>
      </c>
      <c r="CI82" s="304">
        <f t="shared" si="19"/>
        <v>0</v>
      </c>
      <c r="CJ82" s="304">
        <f t="shared" si="19"/>
        <v>0</v>
      </c>
      <c r="CK82" s="304">
        <f t="shared" si="19"/>
        <v>0</v>
      </c>
      <c r="CL82" s="304">
        <f t="shared" si="19"/>
        <v>0</v>
      </c>
      <c r="CM82" s="304">
        <f t="shared" si="19"/>
        <v>0</v>
      </c>
      <c r="CN82" s="304">
        <f t="shared" si="19"/>
        <v>0</v>
      </c>
      <c r="CO82" s="304">
        <f t="shared" si="19"/>
        <v>0</v>
      </c>
      <c r="CP82" s="304">
        <f t="shared" si="19"/>
        <v>0</v>
      </c>
      <c r="CQ82" s="304">
        <f t="shared" si="19"/>
        <v>0</v>
      </c>
      <c r="CR82" s="304">
        <f t="shared" si="19"/>
        <v>0</v>
      </c>
      <c r="CS82" s="305">
        <f t="shared" si="24"/>
        <v>0</v>
      </c>
      <c r="CV82" s="265"/>
      <c r="CW82" s="265" t="s">
        <v>719</v>
      </c>
      <c r="CX82" s="267">
        <f>INDEX($M$77:$Z$85,MATCH($CW82,$L$77:$L$85,0),MATCH(CX$78,$M$78:$Z$78,0))/INDEX(고양시_재차인원!$D$4:$H$35,MATCH("고양시",고양시_재차인원!$B$4:$B$35,0),MATCH($CX$77,고양시_재차인원!$D$4:$H$4,0))</f>
        <v>0</v>
      </c>
      <c r="CY82" s="267">
        <f>INDEX($M$77:$Z$85,MATCH($CW82,$L$77:$L$85,0),MATCH(CY$78,$M$78:$Z$78,0))/INDEX(고양시_재차인원!$K$4:$O$20,MATCH("경기도",고양시_재차인원!$K$4:$K$20,0),MATCH(CY$78,고양시_재차인원!$K$4:$O$4,0))</f>
        <v>0</v>
      </c>
      <c r="CZ82" s="267">
        <f>INDEX($M$77:$Z$85,MATCH($CW82,$L$77:$L$85,0),MATCH(CZ$78,$M$78:$Z$78,0))/INDEX(고양시_재차인원!$K$4:$O$20,MATCH("경기도",고양시_재차인원!$K$4:$K$20,0),MATCH(CZ$78,고양시_재차인원!$K$4:$O$4,0))</f>
        <v>0</v>
      </c>
      <c r="DA82" s="267">
        <f>INDEX($M$77:$Z$85,MATCH($CW82,$L$77:$L$85,0),MATCH(DA$78,$M$78:$Z$78,0))/INDEX(고양시_재차인원!$D$4:$H$35,MATCH("고양시",고양시_재차인원!$B$4:$B$35,0),MATCH($CX$77,고양시_재차인원!$D$4:$H$4,0))</f>
        <v>0</v>
      </c>
      <c r="DB82" s="267">
        <f>INDEX($AA$77:$AN$85,MATCH($CW82,$L$77:$L$85,0),MATCH(DB$78,$AA$78:$AN$78,0))/INDEX(고양시_재차인원!$D$4:$H$35,MATCH("고양시",고양시_재차인원!$B$4:$B$35,0),MATCH($DB$77,고양시_재차인원!$D$4:$H$4,0))</f>
        <v>0</v>
      </c>
      <c r="DC82" s="267">
        <f>INDEX($AA$77:$AN$85,MATCH($CW82,$L$77:$L$85,0),MATCH(DC$78,$AA$78:$AN$78,0))/INDEX(고양시_재차인원!$K$4:$O$20,MATCH("경기도",고양시_재차인원!$K$4:$K$20,0),MATCH(DC$78,고양시_재차인원!$K$4:$O$4,0))</f>
        <v>0</v>
      </c>
      <c r="DD82" s="267">
        <f>INDEX($AA$77:$AN$85,MATCH($CW82,$L$77:$L$85,0),MATCH(DD$78,$AA$78:$AN$78,0))/INDEX(고양시_재차인원!$K$4:$O$20,MATCH("경기도",고양시_재차인원!$K$4:$K$20,0),MATCH(DD$78,고양시_재차인원!$K$4:$O$4,0))</f>
        <v>0</v>
      </c>
      <c r="DE82" s="267">
        <f>INDEX($AA$77:$AN$85,MATCH($CW82,$L$77:$L$85,0),MATCH(DE$78,$AA$78:$AN$78,0))/INDEX(고양시_재차인원!$D$4:$H$35,MATCH("고양시",고양시_재차인원!$B$4:$B$35,0),MATCH($DB$77,고양시_재차인원!$D$4:$H$4,0))</f>
        <v>0</v>
      </c>
      <c r="DF82" s="267">
        <f>INDEX($AO$77:$BB$85,MATCH($CW82,$L$77:$L$85,0),MATCH(DF$78,$AO$78:$BB$78,0))/INDEX(고양시_재차인원!$D$4:$H$35,MATCH("고양시",고양시_재차인원!$B$4:$B$35,0),MATCH($DF$77,고양시_재차인원!$D$4:$H$4,0))</f>
        <v>0</v>
      </c>
      <c r="DG82" s="267">
        <f>INDEX($AO$77:$BB$85,MATCH($CW82,$L$77:$L$85,0),MATCH(DG$78,$AO$78:$BB$78,0))/INDEX(고양시_재차인원!$K$4:$O$20,MATCH("경기도",고양시_재차인원!$K$4:$K$20,0),MATCH(DG$78,고양시_재차인원!$K$4:$O$4,0))</f>
        <v>0</v>
      </c>
      <c r="DH82" s="267">
        <f>INDEX($AO$77:$BB$85,MATCH($CW82,$L$77:$L$85,0),MATCH(DH$78,$AO$78:$BB$78,0))/INDEX(고양시_재차인원!$K$4:$O$20,MATCH("경기도",고양시_재차인원!$K$4:$K$20,0),MATCH(DH$78,고양시_재차인원!$K$4:$O$4,0))</f>
        <v>0</v>
      </c>
      <c r="DI82" s="267">
        <f>INDEX($AO$77:$BB$85,MATCH($CW82,$L$77:$L$85,0),MATCH(DI$78,$AO$78:$BB$78,0))/INDEX(고양시_재차인원!$D$4:$H$35,MATCH("고양시",고양시_재차인원!$B$4:$B$35,0),MATCH($DF$77,고양시_재차인원!$D$4:$H$4,0))</f>
        <v>0</v>
      </c>
      <c r="DJ82" s="267">
        <f>INDEX($BC$77:$BP$85,MATCH($CW82,$L$77:$L$85,0),MATCH(DJ$78,$BC$78:$BP$78,0))/INDEX(고양시_재차인원!$D$4:$H$35,MATCH("고양시",고양시_재차인원!$B$4:$B$35,0),MATCH($DJ$77,고양시_재차인원!$D$4:$H$4,0))</f>
        <v>0</v>
      </c>
      <c r="DK82" s="267">
        <f>INDEX($BC$77:$BP$85,MATCH($CW82,$L$77:$L$85,0),MATCH(DK$78,$BC$78:$BP$78,0))/INDEX(고양시_재차인원!$K$4:$O$20,MATCH("경기도",고양시_재차인원!$K$4:$K$20,0),MATCH(DK$78,고양시_재차인원!$K$4:$O$4,0))</f>
        <v>0</v>
      </c>
      <c r="DL82" s="267">
        <f>INDEX($BC$77:$BP$85,MATCH($CW82,$L$77:$L$85,0),MATCH(DL$78,$BC$78:$BP$78,0))/INDEX(고양시_재차인원!$K$4:$O$20,MATCH("경기도",고양시_재차인원!$K$4:$K$20,0),MATCH(DL$78,고양시_재차인원!$K$4:$O$4,0))</f>
        <v>0</v>
      </c>
      <c r="DM82" s="267">
        <f>INDEX($BC$77:$BP$85,MATCH($CW82,$L$77:$L$85,0),MATCH(DM$78,$BC$78:$BP$78,0))/INDEX(고양시_재차인원!$D$4:$H$35,MATCH("고양시",고양시_재차인원!$B$4:$B$35,0),MATCH($DJ$77,고양시_재차인원!$D$4:$H$4,0))</f>
        <v>0</v>
      </c>
      <c r="DN82" s="267">
        <f>INDEX($BQ$77:$CD$85,MATCH($CW82,$L$77:$L$85,0),MATCH(DN$78,$BQ$78:$CD$78,0))/INDEX(고양시_재차인원!$D$4:$H$35,MATCH("고양시",고양시_재차인원!$B$4:$B$35,0),MATCH($DN$77,고양시_재차인원!$D$4:$H$4,0))</f>
        <v>0</v>
      </c>
      <c r="DO82" s="267">
        <f>INDEX($BQ$77:$CD$85,MATCH($CW82,$L$77:$L$85,0),MATCH(DO$78,$BQ$78:$CD$78,0))/INDEX(고양시_재차인원!$K$4:$O$20,MATCH("경기도",고양시_재차인원!$K$4:$K$20,0),MATCH(DO$78,고양시_재차인원!$K$4:$O$4,0))</f>
        <v>0</v>
      </c>
      <c r="DP82" s="267">
        <f>INDEX($BQ$77:$CD$85,MATCH($CW82,$L$77:$L$85,0),MATCH(DP$78,$BQ$78:$CD$78,0))/INDEX(고양시_재차인원!$K$4:$O$20,MATCH("경기도",고양시_재차인원!$K$4:$K$20,0),MATCH(DP$78,고양시_재차인원!$K$4:$O$4,0))</f>
        <v>0</v>
      </c>
      <c r="DQ82" s="267">
        <f>INDEX($BQ$77:$CD$85,MATCH($CW82,$L$77:$L$85,0),MATCH(DQ$78,$BQ$78:$CD$78,0))/INDEX(고양시_재차인원!$D$4:$H$35,MATCH("고양시",고양시_재차인원!$B$4:$B$35,0),MATCH($DN$77,고양시_재차인원!$D$4:$H$4,0))</f>
        <v>0</v>
      </c>
      <c r="DR82" s="270">
        <f t="shared" si="25"/>
        <v>0</v>
      </c>
      <c r="DS82" s="270">
        <f t="shared" si="20"/>
        <v>0</v>
      </c>
      <c r="DT82" s="270">
        <f t="shared" si="20"/>
        <v>0</v>
      </c>
      <c r="DU82" s="270">
        <f t="shared" si="20"/>
        <v>0</v>
      </c>
      <c r="DW82" s="278"/>
      <c r="DX82" s="278" t="s">
        <v>719</v>
      </c>
      <c r="DY82" s="281">
        <f t="shared" si="26"/>
        <v>0</v>
      </c>
      <c r="DZ82" s="281">
        <f t="shared" si="27"/>
        <v>0</v>
      </c>
      <c r="EB82" s="278"/>
      <c r="EC82" s="278" t="s">
        <v>672</v>
      </c>
      <c r="ED82" s="281">
        <f t="shared" si="28"/>
        <v>0</v>
      </c>
      <c r="EE82" s="281">
        <f t="shared" si="21"/>
        <v>0</v>
      </c>
      <c r="FE82" t="s">
        <v>12</v>
      </c>
      <c r="FF82" t="s">
        <v>359</v>
      </c>
      <c r="FG82">
        <v>5055.2204000000002</v>
      </c>
      <c r="FH82" s="277" t="e">
        <f t="shared" si="29"/>
        <v>#DIV/0!</v>
      </c>
    </row>
    <row r="83" spans="1:164" ht="25">
      <c r="A83" s="205"/>
      <c r="B83" s="205" t="s">
        <v>717</v>
      </c>
      <c r="C83" s="400">
        <f>$D15*KTDB_TripDistribution_2025!T$12 * (1+KTDB_발생량도착량_증가율!$C$7)</f>
        <v>51.451908061268611</v>
      </c>
      <c r="D83" s="400">
        <f>$D15*KTDB_TripDistribution_2025!U$12 * (1+KTDB_발생량도착량_증가율!$C$7)</f>
        <v>372.36798475833342</v>
      </c>
      <c r="E83" s="400">
        <f>$D15*KTDB_TripDistribution_2025!V$12 * (1+KTDB_발생량도착량_증가율!$C$7)</f>
        <v>21.361829597425334</v>
      </c>
      <c r="F83" s="400">
        <f>$D15*KTDB_TripDistribution_2025!W$12 * (1+KTDB_발생량도착량_증가율!$C$7)</f>
        <v>3.3570187947761065E-2</v>
      </c>
      <c r="G83" s="400">
        <f>$D15*KTDB_TripDistribution_2025!X$12 * (1+KTDB_발생량도착량_증가율!$C$7)</f>
        <v>0.1268207100248756</v>
      </c>
      <c r="H83" s="400">
        <f>$D15*KTDB_TripDistribution_2025!Y$12 * (1+KTDB_발생량도착량_증가율!$C$7)</f>
        <v>445.34211331500018</v>
      </c>
      <c r="J83" s="230">
        <f t="shared" si="18"/>
        <v>445.34211331500006</v>
      </c>
      <c r="K83" s="206"/>
      <c r="L83" s="206" t="s">
        <v>717</v>
      </c>
      <c r="M83" s="206">
        <f>INDEX($A$78:$H$85,MATCH($L83,$B$78:$B$85,0),MATCH($M$77,$A$78:$H$78,0))*고양시_Modal_split!C$3 * 0.01</f>
        <v>0.1440653425715521</v>
      </c>
      <c r="N83" s="206">
        <f>INDEX($A$78:$H$85,MATCH($L83,$B$78:$B$85,0),MATCH($M$77,$A$78:$H$78,0))*고양시_Modal_split!D$3 * 0.01</f>
        <v>24.19783236121463</v>
      </c>
      <c r="O83" s="206">
        <f>INDEX($A$78:$H$85,MATCH($L83,$B$78:$B$85,0),MATCH($M$77,$A$78:$H$78,0))*고양시_Modal_split!E$3 * 0.01</f>
        <v>2.9276135686861835</v>
      </c>
      <c r="P83" s="206">
        <f>INDEX($A$78:$H$85,MATCH($L83,$B$78:$B$85,0),MATCH($M$77,$A$78:$H$78,0))*고양시_Modal_split!F$3 * 0.01</f>
        <v>4.7181399692183321</v>
      </c>
      <c r="Q83" s="206">
        <f>INDEX($A$78:$H$85,MATCH($L83,$B$78:$B$85,0),MATCH($M$77,$A$78:$H$78,0))*고양시_Modal_split!G$3 * 0.01</f>
        <v>0.4733575541636712</v>
      </c>
      <c r="R83" s="206">
        <f>INDEX($A$78:$H$85,MATCH($L83,$B$78:$B$85,0),MATCH($M$77,$A$78:$H$78,0))*고양시_Modal_split!H$3 * 0.01</f>
        <v>5.1451908061268615E-3</v>
      </c>
      <c r="S83" s="206">
        <f>INDEX($A$78:$H$85,MATCH($L83,$B$78:$B$85,0),MATCH($M$77,$A$78:$H$78,0))*고양시_Modal_split!I$3 * 0.01</f>
        <v>1.4303630441032673</v>
      </c>
      <c r="T83" s="206">
        <f>INDEX($A$78:$H$85,MATCH($L83,$B$78:$B$85,0),MATCH($M$77,$A$78:$H$78,0))*고양시_Modal_split!J$3 * 0.01</f>
        <v>15.661960813850166</v>
      </c>
      <c r="U83" s="206">
        <f>INDEX($A$78:$H$85,MATCH($L83,$B$78:$B$85,0),MATCH($M$77,$A$78:$H$78,0))*고양시_Modal_split!K$3 * 0.01</f>
        <v>7.7177862091902916E-2</v>
      </c>
      <c r="V83" s="206">
        <f>INDEX($A$78:$H$85,MATCH($L83,$B$78:$B$85,0),MATCH($M$77,$A$78:$H$78,0))*고양시_Modal_split!L$3 * 0.01</f>
        <v>1.5538476234503122</v>
      </c>
      <c r="W83" s="206">
        <f>INDEX($A$78:$H$85,MATCH($L83,$B$78:$B$85,0),MATCH($M$77,$A$78:$H$78,0))*고양시_Modal_split!M$3 * 0.01</f>
        <v>0.1183393885409178</v>
      </c>
      <c r="X83" s="206">
        <f>INDEX($A$78:$H$85,MATCH($L83,$B$78:$B$85,0),MATCH($M$77,$A$78:$H$78,0))*고양시_Modal_split!N$3 * 0.01</f>
        <v>5.145190806126862E-2</v>
      </c>
      <c r="Y83" s="206">
        <f>INDEX($A$78:$H$85,MATCH($L83,$B$78:$B$85,0),MATCH($M$77,$A$78:$H$78,0))*고양시_Modal_split!O$3 * 0.01</f>
        <v>9.261343451028349E-2</v>
      </c>
      <c r="Z83" s="209">
        <f>INDEX($A$78:$H$85,MATCH($L83,$B$78:$B$85,0),MATCH($M$77,$A$78:$H$78,0))*고양시_Modal_split!P$3 * 0.01</f>
        <v>51.451908061268618</v>
      </c>
      <c r="AA83" s="207">
        <f>INDEX($A$78:$H$85,MATCH($L83,$B$78:$B$85,0),MATCH($AA$77,$A$78:$H$78,0))*고양시_Modal_split!C$3 * 0.01</f>
        <v>1.0426303573233335</v>
      </c>
      <c r="AB83" s="207">
        <f>INDEX($A$78:$H$85,MATCH($L83,$B$78:$B$85,0),MATCH($AA$77,$A$78:$H$78,0))*고양시_Modal_split!D$3 * 0.01</f>
        <v>175.12466323184421</v>
      </c>
      <c r="AC83" s="207">
        <f>INDEX($A$78:$H$85,MATCH($L83,$B$78:$B$85,0),MATCH($AA$77,$A$78:$H$78,0))*고양시_Modal_split!E$3 * 0.01</f>
        <v>21.18773833274917</v>
      </c>
      <c r="AD83" s="207">
        <f>INDEX($A$78:$H$85,MATCH($L83,$B$78:$B$85,0),MATCH($AA$77,$A$78:$H$78,0))*고양시_Modal_split!F$3 * 0.01</f>
        <v>34.146144202339173</v>
      </c>
      <c r="AE83" s="207">
        <f>INDEX($A$78:$H$85,MATCH($L83,$B$78:$B$85,0),MATCH($AA$77,$A$78:$H$78,0))*고양시_Modal_split!G$3 * 0.01</f>
        <v>3.4257854597766668</v>
      </c>
      <c r="AF83" s="207">
        <f>INDEX($A$78:$H$85,MATCH($L83,$B$78:$B$85,0),MATCH($AA$77,$A$78:$H$78,0))*고양시_Modal_split!H$3 * 0.01</f>
        <v>3.7236798475833346E-2</v>
      </c>
      <c r="AG83" s="207">
        <f>INDEX($A$78:$H$85,MATCH($L83,$B$78:$B$85,0),MATCH($AA$77,$A$78:$H$78,0))*고양시_Modal_split!I$3 * 0.01</f>
        <v>10.351829976281667</v>
      </c>
      <c r="AH83" s="207">
        <f>INDEX($A$78:$H$85,MATCH($L83,$B$78:$B$85,0),MATCH($AA$77,$A$78:$H$78,0))*고양시_Modal_split!J$3 * 0.01</f>
        <v>113.34881456043669</v>
      </c>
      <c r="AI83" s="207">
        <f>INDEX($A$78:$H$85,MATCH($L83,$B$78:$B$85,0),MATCH($AA$77,$A$78:$H$78,0))*고양시_Modal_split!K$3 * 0.01</f>
        <v>0.55855197713750016</v>
      </c>
      <c r="AJ83" s="207">
        <f>INDEX($A$78:$H$85,MATCH($L83,$B$78:$B$85,0),MATCH($AA$77,$A$78:$H$78,0))*고양시_Modal_split!L$3 * 0.01</f>
        <v>11.24551313970167</v>
      </c>
      <c r="AK83" s="207">
        <f>INDEX($A$78:$H$85,MATCH($L83,$B$78:$B$85,0),MATCH($AA$77,$A$78:$H$78,0))*고양시_Modal_split!M$3 * 0.01</f>
        <v>0.8564463649441667</v>
      </c>
      <c r="AL83" s="207">
        <f>INDEX($A$78:$H$85,MATCH($L83,$B$78:$B$85,0),MATCH($AA$77,$A$78:$H$78,0))*고양시_Modal_split!N$3 * 0.01</f>
        <v>0.37236798475833349</v>
      </c>
      <c r="AM83" s="207">
        <f>INDEX($A$78:$H$85,MATCH($L83,$B$78:$B$85,0),MATCH($AA$77,$A$78:$H$78,0))*고양시_Modal_split!O$3 * 0.01</f>
        <v>0.6702623725650001</v>
      </c>
      <c r="AN83" s="207">
        <f>INDEX($A$78:$H$85,MATCH($L83,$B$78:$B$85,0),MATCH($AA$77,$A$78:$H$78,0))*고양시_Modal_split!P$3 * 0.01</f>
        <v>372.36798475833342</v>
      </c>
      <c r="AO83" s="303">
        <f>INDEX($A$78:$H$85,MATCH($L40,$B$78:$B$85,0),MATCH($AO$77,$A$78:$H$78,0))*고양시_Modal_split!C$3 * 0.01</f>
        <v>5.9813122872790933E-2</v>
      </c>
      <c r="AP83" s="303">
        <f>INDEX($A$78:$H$85,MATCH($L40,$B$78:$B$85,0),MATCH($AO$77,$A$78:$H$78,0))*고양시_Modal_split!D$3 * 0.01</f>
        <v>10.046468459669136</v>
      </c>
      <c r="AQ83" s="303">
        <f>INDEX($A$78:$H$85,MATCH($L40,$B$78:$B$85,0),MATCH($AO$77,$A$78:$H$78,0))*고양시_Modal_split!E$3 * 0.01</f>
        <v>1.2154881040935015</v>
      </c>
      <c r="AR83" s="303">
        <f>INDEX($A$78:$H$85,MATCH($L40,$B$78:$B$85,0),MATCH($AO$77,$A$78:$H$78,0))*고양시_Modal_split!F$3 * 0.01</f>
        <v>1.9588797740839032</v>
      </c>
      <c r="AS83" s="303">
        <f>INDEX($A$78:$H$85,MATCH($L40,$B$78:$B$85,0),MATCH($AO$77,$A$78:$H$78,0))*고양시_Modal_split!G$3 * 0.01</f>
        <v>0.19652883229631307</v>
      </c>
      <c r="AT83" s="303">
        <f>INDEX($A$78:$H$85,MATCH($L40,$B$78:$B$85,0),MATCH($AO$77,$A$78:$H$78,0))*고양시_Modal_split!H$3 * 0.01</f>
        <v>2.1361829597425336E-3</v>
      </c>
      <c r="AU83" s="303">
        <f>INDEX($A$78:$H$85,MATCH($L40,$B$78:$B$85,0),MATCH($AO$77,$A$78:$H$78,0))*고양시_Modal_split!I$3 * 0.01</f>
        <v>0.59385886280842426</v>
      </c>
      <c r="AV83" s="303">
        <f>INDEX($A$78:$H$85,MATCH($L40,$B$78:$B$85,0),MATCH($AO$77,$A$78:$H$78,0))*고양시_Modal_split!J$3 * 0.01</f>
        <v>6.5025409294562726</v>
      </c>
      <c r="AW83" s="303">
        <f>INDEX($A$78:$H$85,MATCH($L40,$B$78:$B$85,0),MATCH($AO$77,$A$78:$H$78,0))*고양시_Modal_split!K$3 * 0.01</f>
        <v>3.2042744396138002E-2</v>
      </c>
      <c r="AX83" s="303">
        <f>INDEX($A$78:$H$85,MATCH($L40,$B$78:$B$85,0),MATCH($AO$77,$A$78:$H$78,0))*고양시_Modal_split!L$3 * 0.01</f>
        <v>0.64512725384224512</v>
      </c>
      <c r="AY83" s="303">
        <f>INDEX($A$78:$H$85,MATCH($L40,$B$78:$B$85,0),MATCH($AO$77,$A$78:$H$78,0))*고양시_Modal_split!M$3 * 0.01</f>
        <v>4.9132208074078268E-2</v>
      </c>
      <c r="AZ83" s="303">
        <f>INDEX($A$78:$H$85,MATCH($L40,$B$78:$B$85,0),MATCH($AO$77,$A$78:$H$78,0))*고양시_Modal_split!N$3 * 0.01</f>
        <v>2.1361829597425337E-2</v>
      </c>
      <c r="BA83" s="207">
        <f>INDEX($A$78:$H$85,MATCH($L40,$B$78:$B$85,0),MATCH($AO$77,$A$78:$H$78,0))*고양시_Modal_split!O$3 * 0.01</f>
        <v>3.8451293275365603E-2</v>
      </c>
      <c r="BB83" s="207">
        <f>INDEX($A$78:$H$85,MATCH($L40,$B$78:$B$85,0),MATCH($AO$77,$A$78:$H$78,0))*고양시_Modal_split!P$3 * 0.01</f>
        <v>21.361829597425334</v>
      </c>
      <c r="BC83" s="207">
        <f>INDEX($A$78:$H$85,MATCH($L83,$B$78:$B$85,0),MATCH($BC$77,$A$78:$H$78,0))*고양시_Modal_split!C$3 * 0.01</f>
        <v>9.3996526253730967E-5</v>
      </c>
      <c r="BD83" s="207">
        <f>INDEX($A$78:$H$85,MATCH($L83,$B$78:$B$85,0),MATCH($BC$77,$A$78:$H$78,0))*고양시_Modal_split!D$3 * 0.01</f>
        <v>1.5788059391832029E-2</v>
      </c>
      <c r="BE83" s="207">
        <f>INDEX($A$78:$H$85,MATCH($L83,$B$78:$B$85,0),MATCH($BC$77,$A$78:$H$78,0))*고양시_Modal_split!E$3 * 0.01</f>
        <v>1.9101436942276047E-3</v>
      </c>
      <c r="BF83" s="207">
        <f>INDEX($A$78:$H$85,MATCH($L83,$B$78:$B$85,0),MATCH($BC$77,$A$78:$H$78,0))*고양시_Modal_split!F$3 * 0.01</f>
        <v>3.0783862348096897E-3</v>
      </c>
      <c r="BG83" s="207">
        <f>INDEX($A$78:$H$85,MATCH($L83,$B$78:$B$85,0),MATCH($BC$77,$A$78:$H$78,0))*고양시_Modal_split!G$3 * 0.01</f>
        <v>3.0884572911940182E-4</v>
      </c>
      <c r="BH83" s="207">
        <f>INDEX($A$78:$H$85,MATCH($L83,$B$78:$B$85,0),MATCH($BC$77,$A$78:$H$78,0))*고양시_Modal_split!H$3 * 0.01</f>
        <v>3.3570187947761071E-6</v>
      </c>
      <c r="BI83" s="207">
        <f>INDEX($A$78:$H$85,MATCH($L83,$B$78:$B$85,0),MATCH($BC$77,$A$78:$H$78,0))*고양시_Modal_split!I$3 * 0.01</f>
        <v>9.3325122494775765E-4</v>
      </c>
      <c r="BJ83" s="207">
        <f>INDEX($A$78:$H$85,MATCH($L83,$B$78:$B$85,0),MATCH($BC$77,$A$78:$H$78,0))*고양시_Modal_split!J$3 * 0.01</f>
        <v>1.0218765211298468E-2</v>
      </c>
      <c r="BK83" s="207">
        <f>INDEX($A$78:$H$85,MATCH($L83,$B$78:$B$85,0),MATCH($BC$77,$A$78:$H$78,0))*고양시_Modal_split!K$3 * 0.01</f>
        <v>5.0355281921641598E-5</v>
      </c>
      <c r="BL83" s="207">
        <f>INDEX($A$78:$H$85,MATCH($L83,$B$78:$B$85,0),MATCH($BC$77,$A$78:$H$78,0))*고양시_Modal_split!L$3 * 0.01</f>
        <v>1.0138196760223841E-3</v>
      </c>
      <c r="BM83" s="207">
        <f>INDEX($A$78:$H$85,MATCH($L83,$B$78:$B$85,0),MATCH($BC$77,$A$78:$H$78,0))*고양시_Modal_split!M$3 * 0.01</f>
        <v>7.7211432279850455E-5</v>
      </c>
      <c r="BN83" s="207">
        <f>INDEX($A$78:$H$85,MATCH($L83,$B$78:$B$85,0),MATCH($BC$77,$A$78:$H$78,0))*고양시_Modal_split!N$3 * 0.01</f>
        <v>3.3570187947761066E-5</v>
      </c>
      <c r="BO83" s="207">
        <f>INDEX($A$78:$H$85,MATCH($L83,$B$78:$B$85,0),MATCH($BC$77,$A$78:$H$78,0))*고양시_Modal_split!O$3 * 0.01</f>
        <v>6.0426338305969922E-5</v>
      </c>
      <c r="BP83" s="207">
        <f>INDEX($A$78:$H$85,MATCH($L83,$B$78:$B$85,0),MATCH($BC$77,$A$78:$H$78,0))*고양시_Modal_split!P$3 * 0.01</f>
        <v>3.3570187947761065E-2</v>
      </c>
      <c r="BQ83" s="207">
        <f>INDEX($A$78:$H$85,MATCH($L40,$B$78:$B$85,0),MATCH($BQ$77,$A$78:$H$78,0))*고양시_Modal_split!C$3 * 0.01</f>
        <v>3.5509798806965162E-4</v>
      </c>
      <c r="BR83" s="207">
        <f>INDEX($A$78:$H$85,MATCH($L40,$B$78:$B$85,0),MATCH($BQ$77,$A$78:$H$78,0))*고양시_Modal_split!D$3 * 0.01</f>
        <v>5.9643779924698999E-2</v>
      </c>
      <c r="BS83" s="207">
        <f>INDEX($A$78:$H$85,MATCH($L40,$B$78:$B$85,0),MATCH($BQ$77,$A$78:$H$78,0))*고양시_Modal_split!E$3 * 0.01</f>
        <v>7.216098400415422E-3</v>
      </c>
      <c r="BT83" s="207">
        <f>INDEX($A$78:$H$85,MATCH($L40,$B$78:$B$85,0),MATCH($BQ$77,$A$78:$H$78,0))*고양시_Modal_split!F$3 * 0.01</f>
        <v>1.1629459109281093E-2</v>
      </c>
      <c r="BU83" s="207">
        <f>INDEX($A$78:$H$85,MATCH($L40,$B$78:$B$85,0),MATCH($BQ$77,$A$78:$H$78,0))*고양시_Modal_split!G$3 * 0.01</f>
        <v>1.1667505322288554E-3</v>
      </c>
      <c r="BV83" s="207">
        <f>INDEX($A$78:$H$85,MATCH($L40,$B$78:$B$85,0),MATCH($BQ$77,$A$78:$H$78,0))*고양시_Modal_split!H$3 * 0.01</f>
        <v>1.268207100248756E-5</v>
      </c>
      <c r="BW83" s="207">
        <f>INDEX($A$78:$H$85,MATCH($L40,$B$78:$B$85,0),MATCH($BQ$77,$A$78:$H$78,0))*고양시_Modal_split!I$3 * 0.01</f>
        <v>3.5256157386915417E-3</v>
      </c>
      <c r="BX83" s="207">
        <f>INDEX($A$78:$H$85,MATCH($L40,$B$78:$B$85,0),MATCH($BQ$77,$A$78:$H$78,0))*고양시_Modal_split!J$3 * 0.01</f>
        <v>3.8604224131572135E-2</v>
      </c>
      <c r="BY83" s="207">
        <f>INDEX($A$78:$H$85,MATCH($L40,$B$78:$B$85,0),MATCH($BQ$77,$A$78:$H$78,0))*고양시_Modal_split!K$3 * 0.01</f>
        <v>1.9023106503731339E-4</v>
      </c>
      <c r="BZ83" s="207">
        <f>INDEX($A$78:$H$85,MATCH($L40,$B$78:$B$85,0),MATCH($BQ$77,$A$78:$H$78,0))*고양시_Modal_split!L$3 * 0.01</f>
        <v>3.8299854427512434E-3</v>
      </c>
      <c r="CA83" s="207">
        <f>INDEX($A$78:$H$85,MATCH($L40,$B$78:$B$85,0),MATCH($BQ$77,$A$78:$H$78,0))*고양시_Modal_split!M$3 * 0.01</f>
        <v>2.9168763305721386E-4</v>
      </c>
      <c r="CB83" s="207">
        <f>INDEX($A$78:$H$85,MATCH($L40,$B$78:$B$85,0),MATCH($BQ$77,$A$78:$H$78,0))*고양시_Modal_split!N$3 * 0.01</f>
        <v>1.2682071002487563E-4</v>
      </c>
      <c r="CC83" s="207">
        <f>INDEX($A$78:$H$85,MATCH($L40,$B$78:$B$85,0),MATCH($BQ$77,$A$78:$H$78,0))*고양시_Modal_split!O$3 * 0.01</f>
        <v>2.282772780447761E-4</v>
      </c>
      <c r="CD83" s="207">
        <f>INDEX($A$78:$H$85,MATCH($L40,$B$78:$B$85,0),MATCH($BQ$77,$A$78:$H$78,0))*고양시_Modal_split!P$3 * 0.01</f>
        <v>0.1268207100248756</v>
      </c>
      <c r="CE83" s="304">
        <f t="shared" si="23"/>
        <v>1.2469579172819998</v>
      </c>
      <c r="CF83" s="304">
        <f t="shared" si="19"/>
        <v>209.44439589204453</v>
      </c>
      <c r="CG83" s="304">
        <f t="shared" si="19"/>
        <v>25.339966247623501</v>
      </c>
      <c r="CH83" s="304">
        <f t="shared" si="19"/>
        <v>40.837871790985503</v>
      </c>
      <c r="CI83" s="304">
        <f t="shared" si="19"/>
        <v>4.0971474424979997</v>
      </c>
      <c r="CJ83" s="304">
        <f t="shared" si="19"/>
        <v>4.4534211331500005E-2</v>
      </c>
      <c r="CK83" s="304">
        <f t="shared" si="19"/>
        <v>12.380510750156999</v>
      </c>
      <c r="CL83" s="304">
        <f t="shared" si="19"/>
        <v>135.56213929308601</v>
      </c>
      <c r="CM83" s="304">
        <f t="shared" si="19"/>
        <v>0.66801316997250004</v>
      </c>
      <c r="CN83" s="304">
        <f t="shared" si="19"/>
        <v>13.449331822113001</v>
      </c>
      <c r="CO83" s="304">
        <f t="shared" si="19"/>
        <v>1.0242868606244999</v>
      </c>
      <c r="CP83" s="304">
        <f t="shared" si="19"/>
        <v>0.44534211331500007</v>
      </c>
      <c r="CQ83" s="304">
        <f t="shared" si="19"/>
        <v>0.80161580396699983</v>
      </c>
      <c r="CR83" s="304">
        <f t="shared" si="19"/>
        <v>445.34211331500006</v>
      </c>
      <c r="CS83" s="305">
        <f t="shared" si="24"/>
        <v>0</v>
      </c>
      <c r="CV83" s="265"/>
      <c r="CW83" s="265" t="s">
        <v>717</v>
      </c>
      <c r="CX83" s="267">
        <f>INDEX($M$77:$Z$85,MATCH($CW83,$L$77:$L$85,0),MATCH(CX$78,$M$78:$Z$78,0))/INDEX(고양시_재차인원!$D$4:$H$35,MATCH("고양시",고양시_재차인원!$B$4:$B$35,0),MATCH($CX$77,고양시_재차인원!$D$4:$H$4,0))</f>
        <v>21.605207465370203</v>
      </c>
      <c r="CY83" s="267">
        <f>INDEX($M$77:$Z$85,MATCH($CW83,$L$77:$L$85,0),MATCH(CY$78,$M$78:$Z$78,0))/INDEX(고양시_재차인원!$K$4:$O$20,MATCH("경기도",고양시_재차인원!$K$4:$K$20,0),MATCH(CY$78,고양시_재차인원!$K$4:$O$4,0))</f>
        <v>1.7871451219613968E-4</v>
      </c>
      <c r="CZ83" s="267">
        <f>INDEX($M$77:$Z$85,MATCH($CW83,$L$77:$L$85,0),MATCH(CZ$78,$M$78:$Z$78,0))/INDEX(고양시_재차인원!$K$4:$O$20,MATCH("경기도",고양시_재차인원!$K$4:$K$20,0),MATCH(CZ$78,고양시_재차인원!$K$4:$O$4,0))</f>
        <v>4.9682634390526829E-2</v>
      </c>
      <c r="DA83" s="267">
        <f>INDEX($M$77:$Z$85,MATCH($CW83,$L$77:$L$85,0),MATCH(DA$78,$M$78:$Z$78,0))/INDEX(고양시_재차인원!$D$4:$H$35,MATCH("고양시",고양시_재차인원!$B$4:$B$35,0),MATCH($CX$77,고양시_재차인원!$D$4:$H$4,0))</f>
        <v>1.3873639495092072</v>
      </c>
      <c r="DB83" s="267">
        <f>INDEX($AA$77:$AN$85,MATCH($CW83,$L$77:$L$85,0),MATCH(DB$78,$AA$78:$AN$78,0))/INDEX(고양시_재차인원!$D$4:$H$35,MATCH("고양시",고양시_재차인원!$B$4:$B$35,0),MATCH($DB$77,고양시_재차인원!$D$4:$H$4,0))</f>
        <v>124.2018888169108</v>
      </c>
      <c r="DC83" s="267">
        <f>INDEX($AA$77:$AN$85,MATCH($CW83,$L$77:$L$85,0),MATCH(DC$78,$AA$78:$AN$78,0))/INDEX(고양시_재차인원!$K$4:$O$20,MATCH("경기도",고양시_재차인원!$K$4:$K$20,0),MATCH(DC$78,고양시_재차인원!$K$4:$O$4,0))</f>
        <v>1.2933934864825755E-3</v>
      </c>
      <c r="DD83" s="267">
        <f>INDEX($AA$77:$AN$85,MATCH($CW83,$L$77:$L$85,0),MATCH(DD$78,$AA$78:$AN$78,0))/INDEX(고양시_재차인원!$K$4:$O$20,MATCH("경기도",고양시_재차인원!$K$4:$K$20,0),MATCH(DD$78,고양시_재차인원!$K$4:$O$4,0))</f>
        <v>0.35956338924215586</v>
      </c>
      <c r="DE83" s="267">
        <f>INDEX($AA$77:$AN$85,MATCH($CW83,$L$77:$L$85,0),MATCH(DE$78,$AA$78:$AN$78,0))/INDEX(고양시_재차인원!$D$4:$H$35,MATCH("고양시",고양시_재차인원!$B$4:$B$35,0),MATCH($DB$77,고양시_재차인원!$D$4:$H$4,0))</f>
        <v>7.9755412338309721</v>
      </c>
      <c r="DF83" s="267">
        <f>INDEX($AO$77:$BB$85,MATCH($CW83,$L$77:$L$85,0),MATCH(DF$78,$AO$78:$BB$78,0))/INDEX(고양시_재차인원!$D$4:$H$35,MATCH("고양시",고양시_재차인원!$B$4:$B$35,0),MATCH($DF$77,고양시_재차인원!$D$4:$H$4,0))</f>
        <v>7.7280526612839502</v>
      </c>
      <c r="DG83" s="267">
        <f>INDEX($AO$77:$BB$85,MATCH($CW83,$L$77:$L$85,0),MATCH(DG$78,$AO$78:$BB$78,0))/INDEX(고양시_재차인원!$K$4:$O$20,MATCH("경기도",고양시_재차인원!$K$4:$K$20,0),MATCH(DG$78,고양시_재차인원!$K$4:$O$4,0))</f>
        <v>7.4198782901789984E-5</v>
      </c>
      <c r="DH83" s="267">
        <f>INDEX($AO$77:$BB$85,MATCH($CW83,$L$77:$L$85,0),MATCH(DH$78,$AO$78:$BB$78,0))/INDEX(고양시_재차인원!$K$4:$O$20,MATCH("경기도",고양시_재차인원!$K$4:$K$20,0),MATCH(DH$78,고양시_재차인원!$K$4:$O$4,0))</f>
        <v>2.0627261646697613E-2</v>
      </c>
      <c r="DI83" s="267">
        <f>INDEX($AO$77:$BB$85,MATCH($CW83,$L$77:$L$85,0),MATCH(DI$78,$AO$78:$BB$78,0))/INDEX(고양시_재차인원!$D$4:$H$35,MATCH("고양시",고양시_재차인원!$B$4:$B$35,0),MATCH($DF$77,고양시_재차인원!$D$4:$H$4,0))</f>
        <v>0.49625173372480391</v>
      </c>
      <c r="DJ83" s="267">
        <f>INDEX($BC$77:$BP$85,MATCH($CW83,$L$77:$L$85,0),MATCH(DJ$78,$BC$78:$BP$78,0))/INDEX(고양시_재차인원!$D$4:$H$35,MATCH("고양시",고양시_재차인원!$B$4:$B$35,0),MATCH($DJ$77,고양시_재차인원!$D$4:$H$4,0))</f>
        <v>1.1608867199876491E-2</v>
      </c>
      <c r="DK83" s="267">
        <f>INDEX($BC$77:$BP$85,MATCH($CW83,$L$77:$L$85,0),MATCH(DK$78,$BC$78:$BP$78,0))/INDEX(고양시_재차인원!$K$4:$O$20,MATCH("경기도",고양시_재차인원!$K$4:$K$20,0),MATCH(DK$78,고양시_재차인원!$K$4:$O$4,0))</f>
        <v>1.1660363997138267E-7</v>
      </c>
      <c r="DL83" s="267">
        <f>INDEX($BC$77:$BP$85,MATCH($CW83,$L$77:$L$85,0),MATCH(DL$78,$BC$78:$BP$78,0))/INDEX(고양시_재차인원!$K$4:$O$20,MATCH("경기도",고양시_재차인원!$K$4:$K$20,0),MATCH(DL$78,고양시_재차인원!$K$4:$O$4,0))</f>
        <v>3.2415811912044378E-5</v>
      </c>
      <c r="DM83" s="267">
        <f>INDEX($BC$77:$BP$85,MATCH($CW83,$L$77:$L$85,0),MATCH(DM$78,$BC$78:$BP$78,0))/INDEX(고양시_재차인원!$D$4:$H$35,MATCH("고양시",고양시_재차인원!$B$4:$B$35,0),MATCH($DJ$77,고양시_재차인원!$D$4:$H$4,0))</f>
        <v>7.4545564413410587E-4</v>
      </c>
      <c r="DN83" s="267">
        <f>INDEX($BQ$77:$CD$85,MATCH($CW83,$L$77:$L$85,0),MATCH(DN$78,$BQ$78:$CD$78,0))/INDEX(고양시_재차인원!$D$4:$H$35,MATCH("고양시",고양시_재차인원!$B$4:$B$35,0),MATCH($DN$77,고양시_재차인원!$D$4:$H$4,0))</f>
        <v>4.7336333273570633E-2</v>
      </c>
      <c r="DO83" s="267">
        <f>INDEX($BQ$77:$CD$85,MATCH($CW83,$L$77:$L$85,0),MATCH(DO$78,$BQ$78:$CD$78,0))/INDEX(고양시_재차인원!$K$4:$O$20,MATCH("경기도",고양시_재차인원!$K$4:$K$20,0),MATCH(DO$78,고양시_재차인원!$K$4:$O$4,0))</f>
        <v>4.4050263989189165E-7</v>
      </c>
      <c r="DP83" s="267">
        <f>INDEX($BQ$77:$CD$85,MATCH($CW83,$L$77:$L$85,0),MATCH(DP$78,$BQ$78:$CD$78,0))/INDEX(고양시_재차인원!$K$4:$O$20,MATCH("경기도",고양시_재차인원!$K$4:$K$20,0),MATCH(DP$78,고양시_재차인원!$K$4:$O$4,0))</f>
        <v>1.2245973388994589E-4</v>
      </c>
      <c r="DQ83" s="267">
        <f>INDEX($BQ$77:$CD$85,MATCH($CW83,$L$77:$L$85,0),MATCH(DQ$78,$BQ$78:$CD$78,0))/INDEX(고양시_재차인원!$D$4:$H$35,MATCH("고양시",고양시_재차인원!$B$4:$B$35,0),MATCH($DN$77,고양시_재차인원!$D$4:$H$4,0))</f>
        <v>3.0396709863105107E-3</v>
      </c>
      <c r="DR83" s="270">
        <f t="shared" si="25"/>
        <v>153.59409414403839</v>
      </c>
      <c r="DS83" s="270">
        <f t="shared" si="20"/>
        <v>1.5468638878603684E-3</v>
      </c>
      <c r="DT83" s="270">
        <f t="shared" si="20"/>
        <v>0.4300281608251823</v>
      </c>
      <c r="DU83" s="270">
        <f t="shared" si="20"/>
        <v>9.8629420436954298</v>
      </c>
      <c r="DW83" s="278"/>
      <c r="DX83" s="278" t="s">
        <v>717</v>
      </c>
      <c r="DY83" s="281">
        <f t="shared" si="26"/>
        <v>163.45703618773382</v>
      </c>
      <c r="DZ83" s="281">
        <f t="shared" si="27"/>
        <v>0.43157502471304265</v>
      </c>
      <c r="EB83" s="278"/>
      <c r="EC83" s="278" t="s">
        <v>674</v>
      </c>
      <c r="ED83" s="281">
        <f t="shared" si="28"/>
        <v>163.45703618773382</v>
      </c>
      <c r="EE83" s="281">
        <f t="shared" si="21"/>
        <v>0.43157502471304265</v>
      </c>
      <c r="FE83" t="s">
        <v>12</v>
      </c>
      <c r="FF83" t="s">
        <v>360</v>
      </c>
      <c r="FG83">
        <v>6559.1377000000002</v>
      </c>
      <c r="FH83" s="277" t="e">
        <f t="shared" si="29"/>
        <v>#DIV/0!</v>
      </c>
    </row>
    <row r="84" spans="1:164" ht="37.5">
      <c r="A84" s="205"/>
      <c r="B84" s="205" t="s">
        <v>721</v>
      </c>
      <c r="C84" s="400">
        <f>$D16*KTDB_TripDistribution_2025!T$12 * (1+KTDB_발생량도착량_증가율!$C$7)</f>
        <v>5.9688988470149198</v>
      </c>
      <c r="D84" s="400">
        <f>$D16*KTDB_TripDistribution_2025!U$12 * (1+KTDB_발생량도착량_증가율!$C$7)</f>
        <v>43.198142083333352</v>
      </c>
      <c r="E84" s="400">
        <f>$D16*KTDB_TripDistribution_2025!V$12 * (1+KTDB_발생량도착량_증가율!$C$7)</f>
        <v>2.4781704869402938</v>
      </c>
      <c r="F84" s="400">
        <f>$D16*KTDB_TripDistribution_2025!W$12 * (1+KTDB_발생량도착량_증가율!$C$7)</f>
        <v>3.8944533582089404E-3</v>
      </c>
      <c r="G84" s="400">
        <f>$D16*KTDB_TripDistribution_2025!X$12 * (1+KTDB_발생량도착량_증가율!$C$7)</f>
        <v>1.471237935323383E-2</v>
      </c>
      <c r="H84" s="400">
        <f>$D16*KTDB_TripDistribution_2025!Y$12 * (1+KTDB_발생량도착량_증가율!$C$7)</f>
        <v>51.66381825000002</v>
      </c>
      <c r="K84" s="206"/>
      <c r="L84" s="206" t="s">
        <v>721</v>
      </c>
      <c r="M84" s="206">
        <f>INDEX($A$78:$H$85,MATCH($L84,$B$78:$B$85,0),MATCH($M$77,$A$78:$H$78,0))*고양시_Modal_split!C$3 * 0.01</f>
        <v>1.6712916771641776E-2</v>
      </c>
      <c r="N84" s="206">
        <f>INDEX($A$78:$H$85,MATCH($L84,$B$78:$B$85,0),MATCH($M$77,$A$78:$H$78,0))*고양시_Modal_split!D$3 * 0.01</f>
        <v>2.8071731277511169</v>
      </c>
      <c r="O84" s="206">
        <f>INDEX($A$78:$H$85,MATCH($L84,$B$78:$B$85,0),MATCH($M$77,$A$78:$H$78,0))*고양시_Modal_split!E$3 * 0.01</f>
        <v>0.33963034439514894</v>
      </c>
      <c r="P84" s="206">
        <f>INDEX($A$78:$H$85,MATCH($L84,$B$78:$B$85,0),MATCH($M$77,$A$78:$H$78,0))*고양시_Modal_split!F$3 * 0.01</f>
        <v>0.54734802427126816</v>
      </c>
      <c r="Q84" s="206">
        <f>INDEX($A$78:$H$85,MATCH($L84,$B$78:$B$85,0),MATCH($M$77,$A$78:$H$78,0))*고양시_Modal_split!G$3 * 0.01</f>
        <v>5.4913869392537257E-2</v>
      </c>
      <c r="R84" s="206">
        <f>INDEX($A$78:$H$85,MATCH($L84,$B$78:$B$85,0),MATCH($M$77,$A$78:$H$78,0))*고양시_Modal_split!H$3 * 0.01</f>
        <v>5.9688988470149194E-4</v>
      </c>
      <c r="S84" s="206">
        <f>INDEX($A$78:$H$85,MATCH($L84,$B$78:$B$85,0),MATCH($M$77,$A$78:$H$78,0))*고양시_Modal_split!I$3 * 0.01</f>
        <v>0.16593538794701476</v>
      </c>
      <c r="T84" s="206">
        <f>INDEX($A$78:$H$85,MATCH($L84,$B$78:$B$85,0),MATCH($M$77,$A$78:$H$78,0))*고양시_Modal_split!J$3 * 0.01</f>
        <v>1.8169328090313417</v>
      </c>
      <c r="U84" s="206">
        <f>INDEX($A$78:$H$85,MATCH($L84,$B$78:$B$85,0),MATCH($M$77,$A$78:$H$78,0))*고양시_Modal_split!K$3 * 0.01</f>
        <v>8.9533482705223804E-3</v>
      </c>
      <c r="V84" s="206">
        <f>INDEX($A$78:$H$85,MATCH($L84,$B$78:$B$85,0),MATCH($M$77,$A$78:$H$78,0))*고양시_Modal_split!L$3 * 0.01</f>
        <v>0.18026074517985058</v>
      </c>
      <c r="W84" s="206">
        <f>INDEX($A$78:$H$85,MATCH($L84,$B$78:$B$85,0),MATCH($M$77,$A$78:$H$78,0))*고양시_Modal_split!M$3 * 0.01</f>
        <v>1.3728467348134314E-2</v>
      </c>
      <c r="X84" s="206">
        <f>INDEX($A$78:$H$85,MATCH($L84,$B$78:$B$85,0),MATCH($M$77,$A$78:$H$78,0))*고양시_Modal_split!N$3 * 0.01</f>
        <v>5.9688988470149194E-3</v>
      </c>
      <c r="Y84" s="206">
        <f>INDEX($A$78:$H$85,MATCH($L84,$B$78:$B$85,0),MATCH($M$77,$A$78:$H$78,0))*고양시_Modal_split!O$3 * 0.01</f>
        <v>1.0744017924626856E-2</v>
      </c>
      <c r="Z84" s="209">
        <f>INDEX($A$78:$H$85,MATCH($L84,$B$78:$B$85,0),MATCH($M$77,$A$78:$H$78,0))*고양시_Modal_split!P$3 * 0.01</f>
        <v>5.9688988470149198</v>
      </c>
      <c r="AA84" s="207">
        <f>INDEX($A$78:$H$85,MATCH($L84,$B$78:$B$85,0),MATCH($AA$77,$A$78:$H$78,0))*고양시_Modal_split!C$3 * 0.01</f>
        <v>0.12095479783333338</v>
      </c>
      <c r="AB84" s="207">
        <f>INDEX($A$78:$H$85,MATCH($L84,$B$78:$B$85,0),MATCH($AA$77,$A$78:$H$78,0))*고양시_Modal_split!D$3 * 0.01</f>
        <v>20.316086221791675</v>
      </c>
      <c r="AC84" s="207">
        <f>INDEX($A$78:$H$85,MATCH($L84,$B$78:$B$85,0),MATCH($AA$77,$A$78:$H$78,0))*고양시_Modal_split!E$3 * 0.01</f>
        <v>2.4579742845416677</v>
      </c>
      <c r="AD84" s="207">
        <f>INDEX($A$78:$H$85,MATCH($L84,$B$78:$B$85,0),MATCH($AA$77,$A$78:$H$78,0))*고양시_Modal_split!F$3 * 0.01</f>
        <v>3.9612696290416682</v>
      </c>
      <c r="AE84" s="207">
        <f>INDEX($A$78:$H$85,MATCH($L84,$B$78:$B$85,0),MATCH($AA$77,$A$78:$H$78,0))*고양시_Modal_split!G$3 * 0.01</f>
        <v>0.39742290716666684</v>
      </c>
      <c r="AF84" s="207">
        <f>INDEX($A$78:$H$85,MATCH($L84,$B$78:$B$85,0),MATCH($AA$77,$A$78:$H$78,0))*고양시_Modal_split!H$3 * 0.01</f>
        <v>4.3198142083333349E-3</v>
      </c>
      <c r="AG84" s="207">
        <f>INDEX($A$78:$H$85,MATCH($L84,$B$78:$B$85,0),MATCH($AA$77,$A$78:$H$78,0))*고양시_Modal_split!I$3 * 0.01</f>
        <v>1.2009083499166671</v>
      </c>
      <c r="AH84" s="207">
        <f>INDEX($A$78:$H$85,MATCH($L84,$B$78:$B$85,0),MATCH($AA$77,$A$78:$H$78,0))*고양시_Modal_split!J$3 * 0.01</f>
        <v>13.149514450166674</v>
      </c>
      <c r="AI84" s="207">
        <f>INDEX($A$78:$H$85,MATCH($L84,$B$78:$B$85,0),MATCH($AA$77,$A$78:$H$78,0))*고양시_Modal_split!K$3 * 0.01</f>
        <v>6.479721312500003E-2</v>
      </c>
      <c r="AJ84" s="207">
        <f>INDEX($A$78:$H$85,MATCH($L84,$B$78:$B$85,0),MATCH($AA$77,$A$78:$H$78,0))*고양시_Modal_split!L$3 * 0.01</f>
        <v>1.3045838909166674</v>
      </c>
      <c r="AK84" s="207">
        <f>INDEX($A$78:$H$85,MATCH($L84,$B$78:$B$85,0),MATCH($AA$77,$A$78:$H$78,0))*고양시_Modal_split!M$3 * 0.01</f>
        <v>9.935572679166671E-2</v>
      </c>
      <c r="AL84" s="207">
        <f>INDEX($A$78:$H$85,MATCH($L84,$B$78:$B$85,0),MATCH($AA$77,$A$78:$H$78,0))*고양시_Modal_split!N$3 * 0.01</f>
        <v>4.3198142083333356E-2</v>
      </c>
      <c r="AM84" s="207">
        <f>INDEX($A$78:$H$85,MATCH($L84,$B$78:$B$85,0),MATCH($AA$77,$A$78:$H$78,0))*고양시_Modal_split!O$3 * 0.01</f>
        <v>7.7756655750000028E-2</v>
      </c>
      <c r="AN84" s="207">
        <f>INDEX($A$78:$H$85,MATCH($L84,$B$78:$B$85,0),MATCH($AA$77,$A$78:$H$78,0))*고양시_Modal_split!P$3 * 0.01</f>
        <v>43.198142083333352</v>
      </c>
      <c r="AO84" s="303">
        <f>INDEX($A$78:$H$85,MATCH($L41,$B$78:$B$85,0),MATCH($AO$77,$A$78:$H$78,0))*고양시_Modal_split!C$3 * 0.01</f>
        <v>6.9388773634328216E-3</v>
      </c>
      <c r="AP84" s="303">
        <f>INDEX($A$78:$H$85,MATCH($L41,$B$78:$B$85,0),MATCH($AO$77,$A$78:$H$78,0))*고양시_Modal_split!D$3 * 0.01</f>
        <v>1.1654835800080203</v>
      </c>
      <c r="AQ84" s="303">
        <f>INDEX($A$78:$H$85,MATCH($L41,$B$78:$B$85,0),MATCH($AO$77,$A$78:$H$78,0))*고양시_Modal_split!E$3 * 0.01</f>
        <v>0.14100790070690272</v>
      </c>
      <c r="AR84" s="303">
        <f>INDEX($A$78:$H$85,MATCH($L41,$B$78:$B$85,0),MATCH($AO$77,$A$78:$H$78,0))*고양시_Modal_split!F$3 * 0.01</f>
        <v>0.22724823365242494</v>
      </c>
      <c r="AS84" s="303">
        <f>INDEX($A$78:$H$85,MATCH($L41,$B$78:$B$85,0),MATCH($AO$77,$A$78:$H$78,0))*고양시_Modal_split!G$3 * 0.01</f>
        <v>2.2799168479850702E-2</v>
      </c>
      <c r="AT84" s="303">
        <f>INDEX($A$78:$H$85,MATCH($L41,$B$78:$B$85,0),MATCH($AO$77,$A$78:$H$78,0))*고양시_Modal_split!H$3 * 0.01</f>
        <v>2.4781704869402939E-4</v>
      </c>
      <c r="AU84" s="303">
        <f>INDEX($A$78:$H$85,MATCH($L41,$B$78:$B$85,0),MATCH($AO$77,$A$78:$H$78,0))*고양시_Modal_split!I$3 * 0.01</f>
        <v>6.8893139536940165E-2</v>
      </c>
      <c r="AV84" s="303">
        <f>INDEX($A$78:$H$85,MATCH($L41,$B$78:$B$85,0),MATCH($AO$77,$A$78:$H$78,0))*고양시_Modal_split!J$3 * 0.01</f>
        <v>0.75435509622462549</v>
      </c>
      <c r="AW84" s="303">
        <f>INDEX($A$78:$H$85,MATCH($L41,$B$78:$B$85,0),MATCH($AO$77,$A$78:$H$78,0))*고양시_Modal_split!K$3 * 0.01</f>
        <v>3.7172557304104409E-3</v>
      </c>
      <c r="AX84" s="303">
        <f>INDEX($A$78:$H$85,MATCH($L41,$B$78:$B$85,0),MATCH($AO$77,$A$78:$H$78,0))*고양시_Modal_split!L$3 * 0.01</f>
        <v>7.4840748705596871E-2</v>
      </c>
      <c r="AY84" s="303">
        <f>INDEX($A$78:$H$85,MATCH($L41,$B$78:$B$85,0),MATCH($AO$77,$A$78:$H$78,0))*고양시_Modal_split!M$3 * 0.01</f>
        <v>5.6997921199626756E-3</v>
      </c>
      <c r="AZ84" s="303">
        <f>INDEX($A$78:$H$85,MATCH($L41,$B$78:$B$85,0),MATCH($AO$77,$A$78:$H$78,0))*고양시_Modal_split!N$3 * 0.01</f>
        <v>2.4781704869402941E-3</v>
      </c>
      <c r="BA84" s="207">
        <f>INDEX($A$78:$H$85,MATCH($L41,$B$78:$B$85,0),MATCH($AO$77,$A$78:$H$78,0))*고양시_Modal_split!O$3 * 0.01</f>
        <v>4.4607068764925288E-3</v>
      </c>
      <c r="BB84" s="207">
        <f>INDEX($A$78:$H$85,MATCH($L41,$B$78:$B$85,0),MATCH($AO$77,$A$78:$H$78,0))*고양시_Modal_split!P$3 * 0.01</f>
        <v>2.4781704869402938</v>
      </c>
      <c r="BC84" s="207">
        <f>INDEX($A$78:$H$85,MATCH($L84,$B$78:$B$85,0),MATCH($BC$77,$A$78:$H$78,0))*고양시_Modal_split!C$3 * 0.01</f>
        <v>1.0904469402985033E-5</v>
      </c>
      <c r="BD84" s="207">
        <f>INDEX($A$78:$H$85,MATCH($L84,$B$78:$B$85,0),MATCH($BC$77,$A$78:$H$78,0))*고양시_Modal_split!D$3 * 0.01</f>
        <v>1.8315614143656648E-3</v>
      </c>
      <c r="BE84" s="207">
        <f>INDEX($A$78:$H$85,MATCH($L84,$B$78:$B$85,0),MATCH($BC$77,$A$78:$H$78,0))*고양시_Modal_split!E$3 * 0.01</f>
        <v>2.2159439608208868E-4</v>
      </c>
      <c r="BF84" s="207">
        <f>INDEX($A$78:$H$85,MATCH($L84,$B$78:$B$85,0),MATCH($BC$77,$A$78:$H$78,0))*고양시_Modal_split!F$3 * 0.01</f>
        <v>3.5712137294775982E-4</v>
      </c>
      <c r="BG84" s="207">
        <f>INDEX($A$78:$H$85,MATCH($L84,$B$78:$B$85,0),MATCH($BC$77,$A$78:$H$78,0))*고양시_Modal_split!G$3 * 0.01</f>
        <v>3.5828970895522246E-5</v>
      </c>
      <c r="BH84" s="207">
        <f>INDEX($A$78:$H$85,MATCH($L84,$B$78:$B$85,0),MATCH($BC$77,$A$78:$H$78,0))*고양시_Modal_split!H$3 * 0.01</f>
        <v>3.8944533582089409E-7</v>
      </c>
      <c r="BI84" s="207">
        <f>INDEX($A$78:$H$85,MATCH($L84,$B$78:$B$85,0),MATCH($BC$77,$A$78:$H$78,0))*고양시_Modal_split!I$3 * 0.01</f>
        <v>1.0826580335820852E-4</v>
      </c>
      <c r="BJ84" s="207">
        <f>INDEX($A$78:$H$85,MATCH($L84,$B$78:$B$85,0),MATCH($BC$77,$A$78:$H$78,0))*고양시_Modal_split!J$3 * 0.01</f>
        <v>1.1854716022388016E-3</v>
      </c>
      <c r="BK84" s="207">
        <f>INDEX($A$78:$H$85,MATCH($L84,$B$78:$B$85,0),MATCH($BC$77,$A$78:$H$78,0))*고양시_Modal_split!K$3 * 0.01</f>
        <v>5.8416800373134105E-6</v>
      </c>
      <c r="BL84" s="207">
        <f>INDEX($A$78:$H$85,MATCH($L84,$B$78:$B$85,0),MATCH($BC$77,$A$78:$H$78,0))*고양시_Modal_split!L$3 * 0.01</f>
        <v>1.1761249141791001E-4</v>
      </c>
      <c r="BM84" s="207">
        <f>INDEX($A$78:$H$85,MATCH($L84,$B$78:$B$85,0),MATCH($BC$77,$A$78:$H$78,0))*고양시_Modal_split!M$3 * 0.01</f>
        <v>8.9572427238805615E-6</v>
      </c>
      <c r="BN84" s="207">
        <f>INDEX($A$78:$H$85,MATCH($L84,$B$78:$B$85,0),MATCH($BC$77,$A$78:$H$78,0))*고양시_Modal_split!N$3 * 0.01</f>
        <v>3.8944533582089412E-6</v>
      </c>
      <c r="BO84" s="207">
        <f>INDEX($A$78:$H$85,MATCH($L84,$B$78:$B$85,0),MATCH($BC$77,$A$78:$H$78,0))*고양시_Modal_split!O$3 * 0.01</f>
        <v>7.0100160447760931E-6</v>
      </c>
      <c r="BP84" s="207">
        <f>INDEX($A$78:$H$85,MATCH($L84,$B$78:$B$85,0),MATCH($BC$77,$A$78:$H$78,0))*고양시_Modal_split!P$3 * 0.01</f>
        <v>3.8944533582089404E-3</v>
      </c>
      <c r="BQ84" s="207">
        <f>INDEX($A$78:$H$85,MATCH($L41,$B$78:$B$85,0),MATCH($BQ$77,$A$78:$H$78,0))*고양시_Modal_split!C$3 * 0.01</f>
        <v>4.1194662189054721E-5</v>
      </c>
      <c r="BR84" s="207">
        <f>INDEX($A$78:$H$85,MATCH($L41,$B$78:$B$85,0),MATCH($BQ$77,$A$78:$H$78,0))*고양시_Modal_split!D$3 * 0.01</f>
        <v>6.919232009825871E-3</v>
      </c>
      <c r="BS84" s="207">
        <f>INDEX($A$78:$H$85,MATCH($L41,$B$78:$B$85,0),MATCH($BQ$77,$A$78:$H$78,0))*고양시_Modal_split!E$3 * 0.01</f>
        <v>8.3713438519900487E-4</v>
      </c>
      <c r="BT84" s="207">
        <f>INDEX($A$78:$H$85,MATCH($L41,$B$78:$B$85,0),MATCH($BQ$77,$A$78:$H$78,0))*고양시_Modal_split!F$3 * 0.01</f>
        <v>1.3491251866915421E-3</v>
      </c>
      <c r="BU84" s="207">
        <f>INDEX($A$78:$H$85,MATCH($L41,$B$78:$B$85,0),MATCH($BQ$77,$A$78:$H$78,0))*고양시_Modal_split!G$3 * 0.01</f>
        <v>1.3535389004975124E-4</v>
      </c>
      <c r="BV84" s="207">
        <f>INDEX($A$78:$H$85,MATCH($L41,$B$78:$B$85,0),MATCH($BQ$77,$A$78:$H$78,0))*고양시_Modal_split!H$3 * 0.01</f>
        <v>1.4712379353233833E-6</v>
      </c>
      <c r="BW84" s="207">
        <f>INDEX($A$78:$H$85,MATCH($L41,$B$78:$B$85,0),MATCH($BQ$77,$A$78:$H$78,0))*고양시_Modal_split!I$3 * 0.01</f>
        <v>4.0900414601990047E-4</v>
      </c>
      <c r="BX84" s="207">
        <f>INDEX($A$78:$H$85,MATCH($L41,$B$78:$B$85,0),MATCH($BQ$77,$A$78:$H$78,0))*고양시_Modal_split!J$3 * 0.01</f>
        <v>4.4784482751243785E-3</v>
      </c>
      <c r="BY84" s="207">
        <f>INDEX($A$78:$H$85,MATCH($L41,$B$78:$B$85,0),MATCH($BQ$77,$A$78:$H$78,0))*고양시_Modal_split!K$3 * 0.01</f>
        <v>2.2068569029850745E-5</v>
      </c>
      <c r="BZ84" s="207">
        <f>INDEX($A$78:$H$85,MATCH($L41,$B$78:$B$85,0),MATCH($BQ$77,$A$78:$H$78,0))*고양시_Modal_split!L$3 * 0.01</f>
        <v>4.4431385646766166E-4</v>
      </c>
      <c r="CA84" s="207">
        <f>INDEX($A$78:$H$85,MATCH($L41,$B$78:$B$85,0),MATCH($BQ$77,$A$78:$H$78,0))*고양시_Modal_split!M$3 * 0.01</f>
        <v>3.3838472512437811E-5</v>
      </c>
      <c r="CB84" s="207">
        <f>INDEX($A$78:$H$85,MATCH($L41,$B$78:$B$85,0),MATCH($BQ$77,$A$78:$H$78,0))*고양시_Modal_split!N$3 * 0.01</f>
        <v>1.4712379353233833E-5</v>
      </c>
      <c r="CC84" s="207">
        <f>INDEX($A$78:$H$85,MATCH($L41,$B$78:$B$85,0),MATCH($BQ$77,$A$78:$H$78,0))*고양시_Modal_split!O$3 * 0.01</f>
        <v>2.6482282835820897E-5</v>
      </c>
      <c r="CD84" s="207">
        <f>INDEX($A$78:$H$85,MATCH($L41,$B$78:$B$85,0),MATCH($BQ$77,$A$78:$H$78,0))*고양시_Modal_split!P$3 * 0.01</f>
        <v>1.471237935323383E-2</v>
      </c>
      <c r="CE84" s="304">
        <f t="shared" si="23"/>
        <v>0.14465869110000001</v>
      </c>
      <c r="CF84" s="304">
        <f t="shared" si="19"/>
        <v>24.297493722975005</v>
      </c>
      <c r="CG84" s="304">
        <f t="shared" si="19"/>
        <v>2.9396712584250002</v>
      </c>
      <c r="CH84" s="304">
        <f t="shared" si="19"/>
        <v>4.7375721335250001</v>
      </c>
      <c r="CI84" s="304">
        <f t="shared" si="19"/>
        <v>0.47530712790000013</v>
      </c>
      <c r="CJ84" s="304">
        <f t="shared" si="19"/>
        <v>5.1663818250000017E-3</v>
      </c>
      <c r="CK84" s="304">
        <f t="shared" si="19"/>
        <v>1.4362541473499999</v>
      </c>
      <c r="CL84" s="304">
        <f t="shared" si="19"/>
        <v>15.726466275300004</v>
      </c>
      <c r="CM84" s="304">
        <f t="shared" si="19"/>
        <v>7.7495727375000018E-2</v>
      </c>
      <c r="CN84" s="304">
        <f t="shared" si="19"/>
        <v>1.5602473111500004</v>
      </c>
      <c r="CO84" s="304">
        <f t="shared" si="19"/>
        <v>0.11882678197500003</v>
      </c>
      <c r="CP84" s="304">
        <f t="shared" si="19"/>
        <v>5.1663818250000014E-2</v>
      </c>
      <c r="CQ84" s="304">
        <f t="shared" si="19"/>
        <v>9.2994872850000007E-2</v>
      </c>
      <c r="CR84" s="304">
        <f t="shared" si="19"/>
        <v>51.663818250000006</v>
      </c>
      <c r="CS84" s="305">
        <f t="shared" si="24"/>
        <v>0</v>
      </c>
      <c r="CV84" s="267"/>
      <c r="CW84" s="267" t="s">
        <v>721</v>
      </c>
      <c r="CX84" s="267">
        <f>INDEX($M$77:$Z$85,MATCH($CW84,$L$77:$L$85,0),MATCH(CX$78,$M$78:$Z$78,0))/INDEX(고양시_재차인원!$D$4:$H$35,MATCH("고양시",고양시_재차인원!$B$4:$B$35,0),MATCH($CX$77,고양시_재차인원!$D$4:$H$4,0))</f>
        <v>2.5064045783492115</v>
      </c>
      <c r="CY84" s="267">
        <f>INDEX($M$77:$Z$85,MATCH($CW84,$L$77:$L$85,0),MATCH(CY$78,$M$78:$Z$78,0))/INDEX(고양시_재차인원!$K$4:$O$20,MATCH("경기도",고양시_재차인원!$K$4:$K$20,0),MATCH(CY$78,고양시_재차인원!$K$4:$O$4,0))</f>
        <v>2.0732542018113651E-5</v>
      </c>
      <c r="CZ84" s="267">
        <f>INDEX($M$77:$Z$85,MATCH($CW84,$L$77:$L$85,0),MATCH(CZ$78,$M$78:$Z$78,0))/INDEX(고양시_재차인원!$K$4:$O$20,MATCH("경기도",고양시_재차인원!$K$4:$K$20,0),MATCH(CZ$78,고양시_재차인원!$K$4:$O$4,0))</f>
        <v>5.7636466810355941E-3</v>
      </c>
      <c r="DA84" s="267">
        <f>INDEX($M$77:$Z$85,MATCH($CW84,$L$77:$L$85,0),MATCH(DA$78,$M$78:$Z$78,0))/INDEX(고양시_재차인원!$D$4:$H$35,MATCH("고양시",고양시_재차인원!$B$4:$B$35,0),MATCH($CX$77,고양시_재차인원!$D$4:$H$4,0))</f>
        <v>0.16094709391058085</v>
      </c>
      <c r="DB84" s="267">
        <f>INDEX($AA$77:$AN$85,MATCH($CW84,$L$77:$L$85,0),MATCH(DB$78,$AA$78:$AN$78,0))/INDEX(고양시_재차인원!$D$4:$H$35,MATCH("고양시",고양시_재차인원!$B$4:$B$35,0),MATCH($DB$77,고양시_재차인원!$D$4:$H$4,0))</f>
        <v>14.408571788504736</v>
      </c>
      <c r="DC84" s="267">
        <f>INDEX($AA$77:$AN$85,MATCH($CW84,$L$77:$L$85,0),MATCH(DC$78,$AA$78:$AN$78,0))/INDEX(고양시_재차인원!$K$4:$O$20,MATCH("경기도",고양시_재차인원!$K$4:$K$20,0),MATCH(DC$78,고양시_재차인원!$K$4:$O$4,0))</f>
        <v>1.5004564808382547E-4</v>
      </c>
      <c r="DD84" s="267">
        <f>INDEX($AA$77:$AN$85,MATCH($CW84,$L$77:$L$85,0),MATCH(DD$78,$AA$78:$AN$78,0))/INDEX(고양시_재차인원!$K$4:$O$20,MATCH("경기도",고양시_재차인원!$K$4:$K$20,0),MATCH(DD$78,고양시_재차인원!$K$4:$O$4,0))</f>
        <v>4.1712690167303473E-2</v>
      </c>
      <c r="DE84" s="267">
        <f>INDEX($AA$77:$AN$85,MATCH($CW84,$L$77:$L$85,0),MATCH(DE$78,$AA$78:$AN$78,0))/INDEX(고양시_재차인원!$D$4:$H$35,MATCH("고양시",고양시_재차인원!$B$4:$B$35,0),MATCH($DB$77,고양시_재차인원!$D$4:$H$4,0))</f>
        <v>0.92523680206855852</v>
      </c>
      <c r="DF84" s="267">
        <f>INDEX($AO$77:$BB$85,MATCH($CW84,$L$77:$L$85,0),MATCH(DF$78,$AO$78:$BB$78,0))/INDEX(고양시_재차인원!$D$4:$H$35,MATCH("고양시",고양시_재차인원!$B$4:$B$35,0),MATCH($DF$77,고양시_재차인원!$D$4:$H$4,0))</f>
        <v>0.89652583077540027</v>
      </c>
      <c r="DG84" s="267">
        <f>INDEX($AO$77:$BB$85,MATCH($CW84,$L$77:$L$85,0),MATCH(DG$78,$AO$78:$BB$78,0))/INDEX(고양시_재차인원!$K$4:$O$20,MATCH("경기도",고양시_재차인원!$K$4:$K$20,0),MATCH(DG$78,고양시_재차인원!$K$4:$O$4,0))</f>
        <v>8.6077474364025493E-6</v>
      </c>
      <c r="DH84" s="267">
        <f>INDEX($AO$77:$BB$85,MATCH($CW84,$L$77:$L$85,0),MATCH(DH$78,$AO$78:$BB$78,0))/INDEX(고양시_재차인원!$K$4:$O$20,MATCH("경기도",고양시_재차인원!$K$4:$K$20,0),MATCH(DH$78,고양시_재차인원!$K$4:$O$4,0))</f>
        <v>2.3929537873199087E-3</v>
      </c>
      <c r="DI84" s="267">
        <f>INDEX($AO$77:$BB$85,MATCH($CW84,$L$77:$L$85,0),MATCH(DI$78,$AO$78:$BB$78,0))/INDEX(고양시_재차인원!$D$4:$H$35,MATCH("고양시",고양시_재차인원!$B$4:$B$35,0),MATCH($DF$77,고양시_재차인원!$D$4:$H$4,0))</f>
        <v>5.7569806696612977E-2</v>
      </c>
      <c r="DJ84" s="267">
        <f>INDEX($BC$77:$BP$85,MATCH($CW84,$L$77:$L$85,0),MATCH(DJ$78,$BC$78:$BP$78,0))/INDEX(고양시_재차인원!$D$4:$H$35,MATCH("고양시",고양시_재차인원!$B$4:$B$35,0),MATCH($DJ$77,고양시_재차인원!$D$4:$H$4,0))</f>
        <v>1.3467363340924005E-3</v>
      </c>
      <c r="DK84" s="267">
        <f>INDEX($BC$77:$BP$85,MATCH($CW84,$L$77:$L$85,0),MATCH(DK$78,$BC$78:$BP$78,0))/INDEX(고양시_재차인원!$K$4:$O$20,MATCH("경기도",고양시_재차인원!$K$4:$K$20,0),MATCH(DK$78,고양시_재차인원!$K$4:$O$4,0))</f>
        <v>1.3527104405032793E-8</v>
      </c>
      <c r="DL84" s="267">
        <f>INDEX($BC$77:$BP$85,MATCH($CW84,$L$77:$L$85,0),MATCH(DL$78,$BC$78:$BP$78,0))/INDEX(고양시_재차인원!$K$4:$O$20,MATCH("경기도",고양시_재차인원!$K$4:$K$20,0),MATCH(DL$78,고양시_재차인원!$K$4:$O$4,0))</f>
        <v>3.7605350245991151E-6</v>
      </c>
      <c r="DM84" s="267">
        <f>INDEX($BC$77:$BP$85,MATCH($CW84,$L$77:$L$85,0),MATCH(DM$78,$BC$78:$BP$78,0))/INDEX(고양시_재차인원!$D$4:$H$35,MATCH("고양시",고양시_재차인원!$B$4:$B$35,0),MATCH($DJ$77,고양시_재차인원!$D$4:$H$4,0))</f>
        <v>8.647977310140441E-5</v>
      </c>
      <c r="DN84" s="267">
        <f>INDEX($BQ$77:$CD$85,MATCH($CW84,$L$77:$L$85,0),MATCH(DN$78,$BQ$78:$CD$78,0))/INDEX(고양시_재차인원!$D$4:$H$35,MATCH("고양시",고양시_재차인원!$B$4:$B$35,0),MATCH($DN$77,고양시_재차인원!$D$4:$H$4,0))</f>
        <v>5.4914539760522784E-3</v>
      </c>
      <c r="DO84" s="267">
        <f>INDEX($BQ$77:$CD$85,MATCH($CW84,$L$77:$L$85,0),MATCH(DO$78,$BQ$78:$CD$78,0))/INDEX(고양시_재차인원!$K$4:$O$20,MATCH("경기도",고양시_재차인원!$K$4:$K$20,0),MATCH(DO$78,고양시_재차인원!$K$4:$O$4,0))</f>
        <v>5.1102394419012968E-8</v>
      </c>
      <c r="DP84" s="267">
        <f>INDEX($BQ$77:$CD$85,MATCH($CW84,$L$77:$L$85,0),MATCH(DP$78,$BQ$78:$CD$78,0))/INDEX(고양시_재차인원!$K$4:$O$20,MATCH("경기도",고양시_재차인원!$K$4:$K$20,0),MATCH(DP$78,고양시_재차인원!$K$4:$O$4,0))</f>
        <v>1.4206465648485602E-5</v>
      </c>
      <c r="DQ84" s="267">
        <f>INDEX($BQ$77:$CD$85,MATCH($CW84,$L$77:$L$85,0),MATCH(DQ$78,$BQ$78:$CD$78,0))/INDEX(고양시_재차인원!$D$4:$H$35,MATCH("고양시",고양시_재차인원!$B$4:$B$35,0),MATCH($DN$77,고양시_재차인원!$D$4:$H$4,0))</f>
        <v>3.5263004481560451E-4</v>
      </c>
      <c r="DR84" s="270">
        <f t="shared" si="25"/>
        <v>17.818340387939489</v>
      </c>
      <c r="DS84" s="270">
        <f t="shared" si="20"/>
        <v>1.7945056703716575E-4</v>
      </c>
      <c r="DT84" s="270">
        <f t="shared" si="20"/>
        <v>4.9887257636332061E-2</v>
      </c>
      <c r="DU84" s="270">
        <f t="shared" si="20"/>
        <v>1.1441928124936696</v>
      </c>
      <c r="DW84" s="278"/>
      <c r="DX84" s="278" t="s">
        <v>721</v>
      </c>
      <c r="DY84" s="281">
        <f t="shared" si="26"/>
        <v>18.96253320043316</v>
      </c>
      <c r="DZ84" s="281">
        <f t="shared" si="27"/>
        <v>5.0066708203369226E-2</v>
      </c>
      <c r="EB84" s="278"/>
      <c r="EC84" s="278" t="s">
        <v>13</v>
      </c>
      <c r="ED84" s="281">
        <f t="shared" si="28"/>
        <v>18.96253320043316</v>
      </c>
      <c r="EE84" s="281">
        <f t="shared" si="21"/>
        <v>5.0066708203369226E-2</v>
      </c>
      <c r="FE84" t="s">
        <v>12</v>
      </c>
      <c r="FF84" t="s">
        <v>361</v>
      </c>
      <c r="FG84">
        <v>8261.5616000000009</v>
      </c>
      <c r="FH84" s="277" t="e">
        <f t="shared" si="29"/>
        <v>#DIV/0!</v>
      </c>
    </row>
    <row r="85" spans="1:164" ht="37.5">
      <c r="A85" s="205"/>
      <c r="B85" s="205" t="s">
        <v>723</v>
      </c>
      <c r="C85" s="400">
        <f>$D17*KTDB_TripDistribution_2025!T$12 * (1+KTDB_발생량도착량_증가율!$C$7)</f>
        <v>35.813393082089519</v>
      </c>
      <c r="D85" s="400">
        <f>$D17*KTDB_TripDistribution_2025!U$12 * (1+KTDB_발생량도착량_증가율!$C$7)</f>
        <v>259.18885250000005</v>
      </c>
      <c r="E85" s="400">
        <f>$D17*KTDB_TripDistribution_2025!V$12 * (1+KTDB_발생량도착량_증가율!$C$7)</f>
        <v>14.869022921641763</v>
      </c>
      <c r="F85" s="400">
        <f>$D17*KTDB_TripDistribution_2025!W$12 * (1+KTDB_발생량도착량_증가율!$C$7)</f>
        <v>2.3366720149253645E-2</v>
      </c>
      <c r="G85" s="400">
        <f>$D17*KTDB_TripDistribution_2025!X$12 * (1+KTDB_발생량도착량_증가율!$C$7)</f>
        <v>8.8274276119402972E-2</v>
      </c>
      <c r="H85" s="400">
        <f>$D17*KTDB_TripDistribution_2025!Y$12 * (1+KTDB_발생량도착량_증가율!$C$7)</f>
        <v>309.98290950000006</v>
      </c>
      <c r="I85" s="56"/>
      <c r="J85" s="56"/>
      <c r="K85" s="206"/>
      <c r="L85" s="206" t="s">
        <v>723</v>
      </c>
      <c r="M85" s="206">
        <f>INDEX($A$78:$H$85,MATCH($L85,$B$78:$B$85,0),MATCH($M$77,$A$78:$H$78,0))*고양시_Modal_split!C$3 * 0.01</f>
        <v>0.10027750062985064</v>
      </c>
      <c r="N85" s="206">
        <f>INDEX($A$78:$H$85,MATCH($L85,$B$78:$B$85,0),MATCH($M$77,$A$78:$H$78,0))*고양시_Modal_split!D$3 * 0.01</f>
        <v>16.843038766506702</v>
      </c>
      <c r="O85" s="206">
        <f>INDEX($A$78:$H$85,MATCH($L85,$B$78:$B$85,0),MATCH($M$77,$A$78:$H$78,0))*고양시_Modal_split!E$3 * 0.01</f>
        <v>2.0377820663708937</v>
      </c>
      <c r="P85" s="206">
        <f>INDEX($A$78:$H$85,MATCH($L85,$B$78:$B$85,0),MATCH($M$77,$A$78:$H$78,0))*고양시_Modal_split!F$3 * 0.01</f>
        <v>3.2840881456276088</v>
      </c>
      <c r="Q85" s="206">
        <f>INDEX($A$78:$H$85,MATCH($L85,$B$78:$B$85,0),MATCH($M$77,$A$78:$H$78,0))*고양시_Modal_split!G$3 * 0.01</f>
        <v>0.32948321635522354</v>
      </c>
      <c r="R85" s="206">
        <f>INDEX($A$78:$H$85,MATCH($L85,$B$78:$B$85,0),MATCH($M$77,$A$78:$H$78,0))*고양시_Modal_split!H$3 * 0.01</f>
        <v>3.5813393082089516E-3</v>
      </c>
      <c r="S85" s="206">
        <f>INDEX($A$78:$H$85,MATCH($L85,$B$78:$B$85,0),MATCH($M$77,$A$78:$H$78,0))*고양시_Modal_split!I$3 * 0.01</f>
        <v>0.99561232768208852</v>
      </c>
      <c r="T85" s="206">
        <f>INDEX($A$78:$H$85,MATCH($L85,$B$78:$B$85,0),MATCH($M$77,$A$78:$H$78,0))*고양시_Modal_split!J$3 * 0.01</f>
        <v>10.90159685418805</v>
      </c>
      <c r="U85" s="206">
        <f>INDEX($A$78:$H$85,MATCH($L85,$B$78:$B$85,0),MATCH($M$77,$A$78:$H$78,0))*고양시_Modal_split!K$3 * 0.01</f>
        <v>5.3720089623134272E-2</v>
      </c>
      <c r="V85" s="206">
        <f>INDEX($A$78:$H$85,MATCH($L85,$B$78:$B$85,0),MATCH($M$77,$A$78:$H$78,0))*고양시_Modal_split!L$3 * 0.01</f>
        <v>1.0815644710791035</v>
      </c>
      <c r="W85" s="206">
        <f>INDEX($A$78:$H$85,MATCH($L85,$B$78:$B$85,0),MATCH($M$77,$A$78:$H$78,0))*고양시_Modal_split!M$3 * 0.01</f>
        <v>8.2370804088805885E-2</v>
      </c>
      <c r="X85" s="206">
        <f>INDEX($A$78:$H$85,MATCH($L85,$B$78:$B$85,0),MATCH($M$77,$A$78:$H$78,0))*고양시_Modal_split!N$3 * 0.01</f>
        <v>3.5813393082089522E-2</v>
      </c>
      <c r="Y85" s="206">
        <f>INDEX($A$78:$H$85,MATCH($L85,$B$78:$B$85,0),MATCH($M$77,$A$78:$H$78,0))*고양시_Modal_split!O$3 * 0.01</f>
        <v>6.4464107547761135E-2</v>
      </c>
      <c r="Z85" s="209">
        <f>INDEX($A$78:$H$85,MATCH($L85,$B$78:$B$85,0),MATCH($M$77,$A$78:$H$78,0))*고양시_Modal_split!P$3 * 0.01</f>
        <v>35.813393082089519</v>
      </c>
      <c r="AA85" s="207">
        <f>INDEX($A$78:$H$85,MATCH($L85,$B$78:$B$85,0),MATCH($AA$77,$A$78:$H$78,0))*고양시_Modal_split!C$3 * 0.01</f>
        <v>0.7257287870000001</v>
      </c>
      <c r="AB85" s="207">
        <f>INDEX($A$78:$H$85,MATCH($L85,$B$78:$B$85,0),MATCH($AA$77,$A$78:$H$78,0))*고양시_Modal_split!D$3 * 0.01</f>
        <v>121.89651733075003</v>
      </c>
      <c r="AC85" s="207">
        <f>INDEX($A$78:$H$85,MATCH($L85,$B$78:$B$85,0),MATCH($AA$77,$A$78:$H$78,0))*고양시_Modal_split!E$3 * 0.01</f>
        <v>14.747845707250001</v>
      </c>
      <c r="AD85" s="207">
        <f>INDEX($A$78:$H$85,MATCH($L85,$B$78:$B$85,0),MATCH($AA$77,$A$78:$H$78,0))*고양시_Modal_split!F$3 * 0.01</f>
        <v>23.767617774250006</v>
      </c>
      <c r="AE85" s="207">
        <f>INDEX($A$78:$H$85,MATCH($L85,$B$78:$B$85,0),MATCH($AA$77,$A$78:$H$78,0))*고양시_Modal_split!G$3 * 0.01</f>
        <v>2.3845374430000006</v>
      </c>
      <c r="AF85" s="207">
        <f>INDEX($A$78:$H$85,MATCH($L85,$B$78:$B$85,0),MATCH($AA$77,$A$78:$H$78,0))*고양시_Modal_split!H$3 * 0.01</f>
        <v>2.5918885250000009E-2</v>
      </c>
      <c r="AG85" s="207">
        <f>INDEX($A$78:$H$85,MATCH($L85,$B$78:$B$85,0),MATCH($AA$77,$A$78:$H$78,0))*고양시_Modal_split!I$3 * 0.01</f>
        <v>7.205450099500001</v>
      </c>
      <c r="AH85" s="207">
        <f>INDEX($A$78:$H$85,MATCH($L85,$B$78:$B$85,0),MATCH($AA$77,$A$78:$H$78,0))*고양시_Modal_split!J$3 * 0.01</f>
        <v>78.897086701000021</v>
      </c>
      <c r="AI85" s="207">
        <f>INDEX($A$78:$H$85,MATCH($L85,$B$78:$B$85,0),MATCH($AA$77,$A$78:$H$78,0))*고양시_Modal_split!K$3 * 0.01</f>
        <v>0.38878327875000007</v>
      </c>
      <c r="AJ85" s="207">
        <f>INDEX($A$78:$H$85,MATCH($L85,$B$78:$B$85,0),MATCH($AA$77,$A$78:$H$78,0))*고양시_Modal_split!L$3 * 0.01</f>
        <v>7.827503345500002</v>
      </c>
      <c r="AK85" s="207">
        <f>INDEX($A$78:$H$85,MATCH($L85,$B$78:$B$85,0),MATCH($AA$77,$A$78:$H$78,0))*고양시_Modal_split!M$3 * 0.01</f>
        <v>0.59613436075000015</v>
      </c>
      <c r="AL85" s="207">
        <f>INDEX($A$78:$H$85,MATCH($L85,$B$78:$B$85,0),MATCH($AA$77,$A$78:$H$78,0))*고양시_Modal_split!N$3 * 0.01</f>
        <v>0.25918885250000007</v>
      </c>
      <c r="AM85" s="207">
        <f>INDEX($A$78:$H$85,MATCH($L85,$B$78:$B$85,0),MATCH($AA$77,$A$78:$H$78,0))*고양시_Modal_split!O$3 * 0.01</f>
        <v>0.46653993450000009</v>
      </c>
      <c r="AN85" s="207">
        <f>INDEX($A$78:$H$85,MATCH($L85,$B$78:$B$85,0),MATCH($AA$77,$A$78:$H$78,0))*고양시_Modal_split!P$3 * 0.01</f>
        <v>259.18885250000005</v>
      </c>
      <c r="AO85" s="303">
        <f>INDEX($A$78:$H$85,MATCH($L42,$B$78:$B$85,0),MATCH($AO$77,$A$78:$H$78,0))*고양시_Modal_split!C$3 * 0.01</f>
        <v>4.1633264180596929E-2</v>
      </c>
      <c r="AP85" s="303">
        <f>INDEX($A$78:$H$85,MATCH($L42,$B$78:$B$85,0),MATCH($AO$77,$A$78:$H$78,0))*고양시_Modal_split!D$3 * 0.01</f>
        <v>6.992901480048122</v>
      </c>
      <c r="AQ85" s="303">
        <f>INDEX($A$78:$H$85,MATCH($L42,$B$78:$B$85,0),MATCH($AO$77,$A$78:$H$78,0))*고양시_Modal_split!E$3 * 0.01</f>
        <v>0.84604740424141622</v>
      </c>
      <c r="AR85" s="303">
        <f>INDEX($A$78:$H$85,MATCH($L42,$B$78:$B$85,0),MATCH($AO$77,$A$78:$H$78,0))*고양시_Modal_split!F$3 * 0.01</f>
        <v>1.3634894019145498</v>
      </c>
      <c r="AS85" s="303">
        <f>INDEX($A$78:$H$85,MATCH($L42,$B$78:$B$85,0),MATCH($AO$77,$A$78:$H$78,0))*고양시_Modal_split!G$3 * 0.01</f>
        <v>0.1367950108791042</v>
      </c>
      <c r="AT85" s="303">
        <f>INDEX($A$78:$H$85,MATCH($L42,$B$78:$B$85,0),MATCH($AO$77,$A$78:$H$78,0))*고양시_Modal_split!H$3 * 0.01</f>
        <v>1.4869022921641765E-3</v>
      </c>
      <c r="AU85" s="303">
        <f>INDEX($A$78:$H$85,MATCH($L42,$B$78:$B$85,0),MATCH($AO$77,$A$78:$H$78,0))*고양시_Modal_split!I$3 * 0.01</f>
        <v>0.41335883722164102</v>
      </c>
      <c r="AV85" s="303">
        <f>INDEX($A$78:$H$85,MATCH($L42,$B$78:$B$85,0),MATCH($AO$77,$A$78:$H$78,0))*고양시_Modal_split!J$3 * 0.01</f>
        <v>4.5261305773477529</v>
      </c>
      <c r="AW85" s="303">
        <f>INDEX($A$78:$H$85,MATCH($L42,$B$78:$B$85,0),MATCH($AO$77,$A$78:$H$78,0))*고양시_Modal_split!K$3 * 0.01</f>
        <v>2.2303534382462641E-2</v>
      </c>
      <c r="AX85" s="303">
        <f>INDEX($A$78:$H$85,MATCH($L42,$B$78:$B$85,0),MATCH($AO$77,$A$78:$H$78,0))*고양시_Modal_split!L$3 * 0.01</f>
        <v>0.44904449223358128</v>
      </c>
      <c r="AY85" s="303">
        <f>INDEX($A$78:$H$85,MATCH($L42,$B$78:$B$85,0),MATCH($AO$77,$A$78:$H$78,0))*고양시_Modal_split!M$3 * 0.01</f>
        <v>3.419875271977605E-2</v>
      </c>
      <c r="AZ85" s="303">
        <f>INDEX($A$78:$H$85,MATCH($L42,$B$78:$B$85,0),MATCH($AO$77,$A$78:$H$78,0))*고양시_Modal_split!N$3 * 0.01</f>
        <v>1.4869022921641764E-2</v>
      </c>
      <c r="BA85" s="207">
        <f>INDEX($A$78:$H$85,MATCH($L42,$B$78:$B$85,0),MATCH($AO$77,$A$78:$H$78,0))*고양시_Modal_split!O$3 * 0.01</f>
        <v>2.6764241258955171E-2</v>
      </c>
      <c r="BB85" s="207">
        <f>INDEX($A$78:$H$85,MATCH($L42,$B$78:$B$85,0),MATCH($AO$77,$A$78:$H$78,0))*고양시_Modal_split!P$3 * 0.01</f>
        <v>14.869022921641763</v>
      </c>
      <c r="BC85" s="207">
        <f>INDEX($A$78:$H$85,MATCH($L85,$B$78:$B$85,0),MATCH($BC$77,$A$78:$H$78,0))*고양시_Modal_split!C$3 * 0.01</f>
        <v>6.5426816417910199E-5</v>
      </c>
      <c r="BD85" s="207">
        <f>INDEX($A$78:$H$85,MATCH($L85,$B$78:$B$85,0),MATCH($BC$77,$A$78:$H$78,0))*고양시_Modal_split!D$3 * 0.01</f>
        <v>1.0989368486193989E-2</v>
      </c>
      <c r="BE85" s="207">
        <f>INDEX($A$78:$H$85,MATCH($L85,$B$78:$B$85,0),MATCH($BC$77,$A$78:$H$78,0))*고양시_Modal_split!E$3 * 0.01</f>
        <v>1.3295663764925322E-3</v>
      </c>
      <c r="BF85" s="207">
        <f>INDEX($A$78:$H$85,MATCH($L85,$B$78:$B$85,0),MATCH($BC$77,$A$78:$H$78,0))*고양시_Modal_split!F$3 * 0.01</f>
        <v>2.1427282376865592E-3</v>
      </c>
      <c r="BG85" s="207">
        <f>INDEX($A$78:$H$85,MATCH($L85,$B$78:$B$85,0),MATCH($BC$77,$A$78:$H$78,0))*고양시_Modal_split!G$3 * 0.01</f>
        <v>2.1497382537313353E-4</v>
      </c>
      <c r="BH85" s="207">
        <f>INDEX($A$78:$H$85,MATCH($L85,$B$78:$B$85,0),MATCH($BC$77,$A$78:$H$78,0))*고양시_Modal_split!H$3 * 0.01</f>
        <v>2.3366720149253648E-6</v>
      </c>
      <c r="BI85" s="207">
        <f>INDEX($A$78:$H$85,MATCH($L85,$B$78:$B$85,0),MATCH($BC$77,$A$78:$H$78,0))*고양시_Modal_split!I$3 * 0.01</f>
        <v>6.4959482014925133E-4</v>
      </c>
      <c r="BJ85" s="207">
        <f>INDEX($A$78:$H$85,MATCH($L85,$B$78:$B$85,0),MATCH($BC$77,$A$78:$H$78,0))*고양시_Modal_split!J$3 * 0.01</f>
        <v>7.11282961343281E-3</v>
      </c>
      <c r="BK85" s="207">
        <f>INDEX($A$78:$H$85,MATCH($L85,$B$78:$B$85,0),MATCH($BC$77,$A$78:$H$78,0))*고양시_Modal_split!K$3 * 0.01</f>
        <v>3.5050080223880468E-5</v>
      </c>
      <c r="BL85" s="207">
        <f>INDEX($A$78:$H$85,MATCH($L85,$B$78:$B$85,0),MATCH($BC$77,$A$78:$H$78,0))*고양시_Modal_split!L$3 * 0.01</f>
        <v>7.0567494850746007E-4</v>
      </c>
      <c r="BM85" s="207">
        <f>INDEX($A$78:$H$85,MATCH($L85,$B$78:$B$85,0),MATCH($BC$77,$A$78:$H$78,0))*고양시_Modal_split!M$3 * 0.01</f>
        <v>5.3743456343283383E-5</v>
      </c>
      <c r="BN85" s="207">
        <f>INDEX($A$78:$H$85,MATCH($L85,$B$78:$B$85,0),MATCH($BC$77,$A$78:$H$78,0))*고양시_Modal_split!N$3 * 0.01</f>
        <v>2.3366720149253645E-5</v>
      </c>
      <c r="BO85" s="207">
        <f>INDEX($A$78:$H$85,MATCH($L85,$B$78:$B$85,0),MATCH($BC$77,$A$78:$H$78,0))*고양시_Modal_split!O$3 * 0.01</f>
        <v>4.206009626865656E-5</v>
      </c>
      <c r="BP85" s="207">
        <f>INDEX($A$78:$H$85,MATCH($L85,$B$78:$B$85,0),MATCH($BC$77,$A$78:$H$78,0))*고양시_Modal_split!P$3 * 0.01</f>
        <v>2.3366720149253645E-2</v>
      </c>
      <c r="BQ85" s="207">
        <f>INDEX($A$78:$H$85,MATCH($L42,$B$78:$B$85,0),MATCH($BQ$77,$A$78:$H$78,0))*고양시_Modal_split!C$3 * 0.01</f>
        <v>2.4716797313432829E-4</v>
      </c>
      <c r="BR85" s="207">
        <f>INDEX($A$78:$H$85,MATCH($L42,$B$78:$B$85,0),MATCH($BQ$77,$A$78:$H$78,0))*고양시_Modal_split!D$3 * 0.01</f>
        <v>4.1515392058955214E-2</v>
      </c>
      <c r="BS85" s="207">
        <f>INDEX($A$78:$H$85,MATCH($L42,$B$78:$B$85,0),MATCH($BQ$77,$A$78:$H$78,0))*고양시_Modal_split!E$3 * 0.01</f>
        <v>5.0228063111940292E-3</v>
      </c>
      <c r="BT85" s="207">
        <f>INDEX($A$78:$H$85,MATCH($L42,$B$78:$B$85,0),MATCH($BQ$77,$A$78:$H$78,0))*고양시_Modal_split!F$3 * 0.01</f>
        <v>8.0947511201492524E-3</v>
      </c>
      <c r="BU85" s="207">
        <f>INDEX($A$78:$H$85,MATCH($L42,$B$78:$B$85,0),MATCH($BQ$77,$A$78:$H$78,0))*고양시_Modal_split!G$3 * 0.01</f>
        <v>8.1212334029850735E-4</v>
      </c>
      <c r="BV85" s="207">
        <f>INDEX($A$78:$H$85,MATCH($L42,$B$78:$B$85,0),MATCH($BQ$77,$A$78:$H$78,0))*고양시_Modal_split!H$3 * 0.01</f>
        <v>8.8274276119402979E-6</v>
      </c>
      <c r="BW85" s="207">
        <f>INDEX($A$78:$H$85,MATCH($L42,$B$78:$B$85,0),MATCH($BQ$77,$A$78:$H$78,0))*고양시_Modal_split!I$3 * 0.01</f>
        <v>2.4540248761194027E-3</v>
      </c>
      <c r="BX85" s="207">
        <f>INDEX($A$78:$H$85,MATCH($L42,$B$78:$B$85,0),MATCH($BQ$77,$A$78:$H$78,0))*고양시_Modal_split!J$3 * 0.01</f>
        <v>2.6870689650746266E-2</v>
      </c>
      <c r="BY85" s="207">
        <f>INDEX($A$78:$H$85,MATCH($L42,$B$78:$B$85,0),MATCH($BQ$77,$A$78:$H$78,0))*고양시_Modal_split!K$3 * 0.01</f>
        <v>1.3241141417910446E-4</v>
      </c>
      <c r="BZ85" s="207">
        <f>INDEX($A$78:$H$85,MATCH($L42,$B$78:$B$85,0),MATCH($BQ$77,$A$78:$H$78,0))*고양시_Modal_split!L$3 * 0.01</f>
        <v>2.6658831388059702E-3</v>
      </c>
      <c r="CA85" s="207">
        <f>INDEX($A$78:$H$85,MATCH($L42,$B$78:$B$85,0),MATCH($BQ$77,$A$78:$H$78,0))*고양시_Modal_split!M$3 * 0.01</f>
        <v>2.0303083507462684E-4</v>
      </c>
      <c r="CB85" s="207">
        <f>INDEX($A$78:$H$85,MATCH($L42,$B$78:$B$85,0),MATCH($BQ$77,$A$78:$H$78,0))*고양시_Modal_split!N$3 * 0.01</f>
        <v>8.8274276119402979E-5</v>
      </c>
      <c r="CC85" s="207">
        <f>INDEX($A$78:$H$85,MATCH($L42,$B$78:$B$85,0),MATCH($BQ$77,$A$78:$H$78,0))*고양시_Modal_split!O$3 * 0.01</f>
        <v>1.5889369701492536E-4</v>
      </c>
      <c r="CD85" s="207">
        <f>INDEX($A$78:$H$85,MATCH($L42,$B$78:$B$85,0),MATCH($BQ$77,$A$78:$H$78,0))*고양시_Modal_split!P$3 * 0.01</f>
        <v>8.8274276119402972E-2</v>
      </c>
      <c r="CE85" s="304">
        <f t="shared" si="23"/>
        <v>0.86795214659999975</v>
      </c>
      <c r="CF85" s="304">
        <f t="shared" si="19"/>
        <v>145.78496233785</v>
      </c>
      <c r="CG85" s="304">
        <f t="shared" si="19"/>
        <v>17.638027550549999</v>
      </c>
      <c r="CH85" s="304">
        <f t="shared" si="19"/>
        <v>28.425432801150002</v>
      </c>
      <c r="CI85" s="304">
        <f t="shared" si="19"/>
        <v>2.8518427674</v>
      </c>
      <c r="CJ85" s="304">
        <f t="shared" si="19"/>
        <v>3.0998290950000004E-2</v>
      </c>
      <c r="CK85" s="304">
        <f t="shared" si="19"/>
        <v>8.6175248840999998</v>
      </c>
      <c r="CL85" s="304">
        <f t="shared" si="19"/>
        <v>94.358797651800003</v>
      </c>
      <c r="CM85" s="304">
        <f t="shared" si="19"/>
        <v>0.46497436424999994</v>
      </c>
      <c r="CN85" s="304">
        <f t="shared" si="19"/>
        <v>9.3614838668999987</v>
      </c>
      <c r="CO85" s="304">
        <f t="shared" si="19"/>
        <v>0.71296069184999999</v>
      </c>
      <c r="CP85" s="304">
        <f t="shared" si="19"/>
        <v>0.30998290950000001</v>
      </c>
      <c r="CQ85" s="304">
        <f t="shared" si="19"/>
        <v>0.5579692370999999</v>
      </c>
      <c r="CR85" s="304">
        <f t="shared" si="19"/>
        <v>309.98290950000001</v>
      </c>
      <c r="CS85" s="305">
        <f t="shared" si="24"/>
        <v>0</v>
      </c>
      <c r="CV85" s="267"/>
      <c r="CW85" s="267" t="s">
        <v>723</v>
      </c>
      <c r="CX85" s="267">
        <f>INDEX($M$77:$Z$85,MATCH($CW85,$L$77:$L$85,0),MATCH(CX$78,$M$78:$Z$78,0))/INDEX(고양시_재차인원!$D$4:$H$35,MATCH("고양시",고양시_재차인원!$B$4:$B$35,0),MATCH($CX$77,고양시_재차인원!$D$4:$H$4,0))</f>
        <v>15.038427470095268</v>
      </c>
      <c r="CY85" s="267">
        <f>INDEX($M$77:$Z$85,MATCH($CW85,$L$77:$L$85,0),MATCH(CY$78,$M$78:$Z$78,0))/INDEX(고양시_재차인원!$K$4:$O$20,MATCH("경기도",고양시_재차인원!$K$4:$K$20,0),MATCH(CY$78,고양시_재차인원!$K$4:$O$4,0))</f>
        <v>1.243952521086819E-4</v>
      </c>
      <c r="CZ85" s="267">
        <f>INDEX($M$77:$Z$85,MATCH($CW85,$L$77:$L$85,0),MATCH(CZ$78,$M$78:$Z$78,0))/INDEX(고양시_재차인원!$K$4:$O$20,MATCH("경기도",고양시_재차인원!$K$4:$K$20,0),MATCH(CZ$78,고양시_재차인원!$K$4:$O$4,0))</f>
        <v>3.4581880086213566E-2</v>
      </c>
      <c r="DA85" s="267">
        <f>INDEX($M$77:$Z$85,MATCH($CW85,$L$77:$L$85,0),MATCH(DA$78,$M$78:$Z$78,0))/INDEX(고양시_재차인원!$D$4:$H$35,MATCH("고양시",고양시_재차인원!$B$4:$B$35,0),MATCH($CX$77,고양시_재차인원!$D$4:$H$4,0))</f>
        <v>0.96568256346348513</v>
      </c>
      <c r="DB85" s="267">
        <f>INDEX($AA$77:$AN$85,MATCH($CW85,$L$77:$L$85,0),MATCH(DB$78,$AA$78:$AN$78,0))/INDEX(고양시_재차인원!$D$4:$H$35,MATCH("고양시",고양시_재차인원!$B$4:$B$35,0),MATCH($DB$77,고양시_재차인원!$D$4:$H$4,0))</f>
        <v>86.451430731028395</v>
      </c>
      <c r="DC85" s="267">
        <f>INDEX($AA$77:$AN$85,MATCH($CW85,$L$77:$L$85,0),MATCH(DC$78,$AA$78:$AN$78,0))/INDEX(고양시_재차인원!$K$4:$O$20,MATCH("경기도",고양시_재차인원!$K$4:$K$20,0),MATCH(DC$78,고양시_재차인원!$K$4:$O$4,0))</f>
        <v>9.0027388850295279E-4</v>
      </c>
      <c r="DD85" s="267">
        <f>INDEX($AA$77:$AN$85,MATCH($CW85,$L$77:$L$85,0),MATCH(DD$78,$AA$78:$AN$78,0))/INDEX(고양시_재차인원!$K$4:$O$20,MATCH("경기도",고양시_재차인원!$K$4:$K$20,0),MATCH(DD$78,고양시_재차인원!$K$4:$O$4,0))</f>
        <v>0.25027614100382084</v>
      </c>
      <c r="DE85" s="267">
        <f>INDEX($AA$77:$AN$85,MATCH($CW85,$L$77:$L$85,0),MATCH(DE$78,$AA$78:$AN$78,0))/INDEX(고양시_재차인원!$D$4:$H$35,MATCH("고양시",고양시_재차인원!$B$4:$B$35,0),MATCH($DB$77,고양시_재차인원!$D$4:$H$4,0))</f>
        <v>5.5514208124113491</v>
      </c>
      <c r="DF85" s="267">
        <f>INDEX($AO$77:$BB$85,MATCH($CW85,$L$77:$L$85,0),MATCH(DF$78,$AO$78:$BB$78,0))/INDEX(고양시_재차인원!$D$4:$H$35,MATCH("고양시",고양시_재차인원!$B$4:$B$35,0),MATCH($DF$77,고양시_재차인원!$D$4:$H$4,0))</f>
        <v>5.3791549846524012</v>
      </c>
      <c r="DG85" s="267">
        <f>INDEX($AO$77:$BB$85,MATCH($CW85,$L$77:$L$85,0),MATCH(DG$78,$AO$78:$BB$78,0))/INDEX(고양시_재차인원!$K$4:$O$20,MATCH("경기도",고양시_재차인원!$K$4:$K$20,0),MATCH(DG$78,고양시_재차인원!$K$4:$O$4,0))</f>
        <v>5.1646484618415303E-5</v>
      </c>
      <c r="DH85" s="267">
        <f>INDEX($AO$77:$BB$85,MATCH($CW85,$L$77:$L$85,0),MATCH(DH$78,$AO$78:$BB$78,0))/INDEX(고양시_재차인원!$K$4:$O$20,MATCH("경기도",고양시_재차인원!$K$4:$K$20,0),MATCH(DH$78,고양시_재차인원!$K$4:$O$4,0))</f>
        <v>1.4357722723919452E-2</v>
      </c>
      <c r="DI85" s="267">
        <f>INDEX($AO$77:$BB$85,MATCH($CW85,$L$77:$L$85,0),MATCH(DI$78,$AO$78:$BB$78,0))/INDEX(고양시_재차인원!$D$4:$H$35,MATCH("고양시",고양시_재차인원!$B$4:$B$35,0),MATCH($DF$77,고양시_재차인원!$D$4:$H$4,0))</f>
        <v>0.34541884017967789</v>
      </c>
      <c r="DJ85" s="267">
        <f>INDEX($BC$77:$BP$85,MATCH($CW85,$L$77:$L$85,0),MATCH(DJ$78,$BC$78:$BP$78,0))/INDEX(고양시_재차인원!$D$4:$H$35,MATCH("고양시",고양시_재차인원!$B$4:$B$35,0),MATCH($DJ$77,고양시_재차인원!$D$4:$H$4,0))</f>
        <v>8.0804180045544027E-3</v>
      </c>
      <c r="DK85" s="267">
        <f>INDEX($BC$77:$BP$85,MATCH($CW85,$L$77:$L$85,0),MATCH(DK$78,$BC$78:$BP$78,0))/INDEX(고양시_재차인원!$K$4:$O$20,MATCH("경기도",고양시_재차인원!$K$4:$K$20,0),MATCH(DK$78,고양시_재차인원!$K$4:$O$4,0))</f>
        <v>8.1162626430196761E-8</v>
      </c>
      <c r="DL85" s="267">
        <f>INDEX($BC$77:$BP$85,MATCH($CW85,$L$77:$L$85,0),MATCH(DL$78,$BC$78:$BP$78,0))/INDEX(고양시_재차인원!$K$4:$O$20,MATCH("경기도",고양시_재차인원!$K$4:$K$20,0),MATCH(DL$78,고양시_재차인원!$K$4:$O$4,0))</f>
        <v>2.2563210147594697E-5</v>
      </c>
      <c r="DM85" s="267">
        <f>INDEX($BC$77:$BP$85,MATCH($CW85,$L$77:$L$85,0),MATCH(DM$78,$BC$78:$BP$78,0))/INDEX(고양시_재차인원!$D$4:$H$35,MATCH("고양시",고양시_재차인원!$B$4:$B$35,0),MATCH($DJ$77,고양시_재차인원!$D$4:$H$4,0))</f>
        <v>5.1887863860842652E-4</v>
      </c>
      <c r="DN85" s="267">
        <f>INDEX($BQ$77:$CD$85,MATCH($CW85,$L$77:$L$85,0),MATCH(DN$78,$BQ$78:$CD$78,0))/INDEX(고양시_재차인원!$D$4:$H$35,MATCH("고양시",고양시_재차인원!$B$4:$B$35,0),MATCH($DN$77,고양시_재차인원!$D$4:$H$4,0))</f>
        <v>3.2948723856313665E-2</v>
      </c>
      <c r="DO85" s="267">
        <f>INDEX($BQ$77:$CD$85,MATCH($CW85,$L$77:$L$85,0),MATCH(DO$78,$BQ$78:$CD$78,0))/INDEX(고양시_재차인원!$K$4:$O$20,MATCH("경기도",고양시_재차인원!$K$4:$K$20,0),MATCH(DO$78,고양시_재차인원!$K$4:$O$4,0))</f>
        <v>3.0661436651407772E-7</v>
      </c>
      <c r="DP85" s="267">
        <f>INDEX($BQ$77:$CD$85,MATCH($CW85,$L$77:$L$85,0),MATCH(DP$78,$BQ$78:$CD$78,0))/INDEX(고양시_재차인원!$K$4:$O$20,MATCH("경기도",고양시_재차인원!$K$4:$K$20,0),MATCH(DP$78,고양시_재차인원!$K$4:$O$4,0))</f>
        <v>8.5238793890913606E-5</v>
      </c>
      <c r="DQ85" s="267">
        <f>INDEX($BQ$77:$CD$85,MATCH($CW85,$L$77:$L$85,0),MATCH(DQ$78,$BQ$78:$CD$78,0))/INDEX(고양시_재차인원!$D$4:$H$35,MATCH("고양시",고양시_재차인원!$B$4:$B$35,0),MATCH($DN$77,고양시_재차인원!$D$4:$H$4,0))</f>
        <v>2.1157802688936272E-3</v>
      </c>
      <c r="DR85" s="270">
        <f t="shared" si="25"/>
        <v>106.91004232763693</v>
      </c>
      <c r="DS85" s="270">
        <f t="shared" si="20"/>
        <v>1.0767034022229943E-3</v>
      </c>
      <c r="DT85" s="270">
        <f t="shared" si="20"/>
        <v>0.29932354581799236</v>
      </c>
      <c r="DU85" s="270">
        <f t="shared" si="20"/>
        <v>6.8651568749620147</v>
      </c>
      <c r="DW85" s="278"/>
      <c r="DX85" s="278" t="s">
        <v>723</v>
      </c>
      <c r="DY85" s="281">
        <f t="shared" si="26"/>
        <v>113.77519920259894</v>
      </c>
      <c r="DZ85" s="281">
        <f t="shared" si="27"/>
        <v>0.30040024922021535</v>
      </c>
      <c r="EB85" s="278"/>
      <c r="EC85" s="278" t="s">
        <v>301</v>
      </c>
      <c r="ED85" s="281">
        <f t="shared" si="28"/>
        <v>113.77519920259894</v>
      </c>
      <c r="EE85" s="281">
        <f t="shared" si="21"/>
        <v>0.30040024922021535</v>
      </c>
      <c r="FE85" t="s">
        <v>12</v>
      </c>
      <c r="FF85" t="s">
        <v>362</v>
      </c>
      <c r="FG85">
        <v>22890.217400000001</v>
      </c>
      <c r="FH85" s="277" t="e">
        <f t="shared" si="29"/>
        <v>#DIV/0!</v>
      </c>
    </row>
    <row r="86" spans="1:164">
      <c r="H86">
        <f>SUM(H79:H85)</f>
        <v>2260.808686620001</v>
      </c>
      <c r="I86" t="b">
        <f>H86=SUM(D8:D10,D14:D17)  * (1+KTDB_발생량도착량_증가율!$C$8)</f>
        <v>1</v>
      </c>
      <c r="DW86" s="278"/>
      <c r="DX86" s="278" t="s">
        <v>26</v>
      </c>
      <c r="DY86" s="281">
        <f>SUM(DY79:DY85)</f>
        <v>829.80045285095503</v>
      </c>
      <c r="DZ86" s="281">
        <f>SUM(DZ79:DZ85)</f>
        <v>2.190919150979437</v>
      </c>
      <c r="EC86" s="278" t="s">
        <v>26</v>
      </c>
      <c r="ED86" s="281">
        <f>DY86</f>
        <v>829.80045285095503</v>
      </c>
      <c r="EE86" s="281">
        <f>DZ86</f>
        <v>2.190919150979437</v>
      </c>
    </row>
    <row r="87" spans="1:164">
      <c r="ED87" s="230">
        <f>SUM(ED79:ED85)-ED86</f>
        <v>0</v>
      </c>
      <c r="EE87" s="230" t="b">
        <f>SUM(EE79:EE85)=EE86</f>
        <v>1</v>
      </c>
    </row>
  </sheetData>
  <mergeCells count="46">
    <mergeCell ref="A12:B13"/>
    <mergeCell ref="D12:F12"/>
    <mergeCell ref="A19:B19"/>
    <mergeCell ref="A6:B7"/>
    <mergeCell ref="C6:C7"/>
    <mergeCell ref="D6:F6"/>
    <mergeCell ref="A11:B11"/>
    <mergeCell ref="ED34:EE34"/>
    <mergeCell ref="M77:Z77"/>
    <mergeCell ref="AA77:AN77"/>
    <mergeCell ref="AO77:BB77"/>
    <mergeCell ref="BC77:BP77"/>
    <mergeCell ref="BQ77:CD77"/>
    <mergeCell ref="CE77:CR77"/>
    <mergeCell ref="CX77:DA77"/>
    <mergeCell ref="DB77:DE77"/>
    <mergeCell ref="DF77:DI77"/>
    <mergeCell ref="DJ77:DM77"/>
    <mergeCell ref="DN77:DQ77"/>
    <mergeCell ref="DR77:DU77"/>
    <mergeCell ref="DY77:DZ77"/>
    <mergeCell ref="ED77:EE77"/>
    <mergeCell ref="DF34:DI34"/>
    <mergeCell ref="DJ34:DM34"/>
    <mergeCell ref="DN34:DQ34"/>
    <mergeCell ref="DR34:DU34"/>
    <mergeCell ref="DY34:DZ34"/>
    <mergeCell ref="BC34:BP34"/>
    <mergeCell ref="BQ34:CD34"/>
    <mergeCell ref="CE34:CR34"/>
    <mergeCell ref="CX34:DA34"/>
    <mergeCell ref="DB34:DE34"/>
    <mergeCell ref="X20:X21"/>
    <mergeCell ref="U24:U25"/>
    <mergeCell ref="M34:Z34"/>
    <mergeCell ref="AA34:AN34"/>
    <mergeCell ref="AO34:BB34"/>
    <mergeCell ref="T18:T27"/>
    <mergeCell ref="V20:V21"/>
    <mergeCell ref="W20:W21"/>
    <mergeCell ref="X10:X11"/>
    <mergeCell ref="U14:U15"/>
    <mergeCell ref="T7:V7"/>
    <mergeCell ref="T8:T17"/>
    <mergeCell ref="V10:V11"/>
    <mergeCell ref="W10:W1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R188"/>
  <sheetViews>
    <sheetView topLeftCell="A45" zoomScale="55" zoomScaleNormal="55" workbookViewId="0">
      <selection activeCell="A9" sqref="A9"/>
    </sheetView>
  </sheetViews>
  <sheetFormatPr defaultRowHeight="17"/>
  <cols>
    <col min="1" max="1" width="8.58203125" customWidth="1"/>
    <col min="13" max="13" width="11.83203125" bestFit="1" customWidth="1"/>
    <col min="17" max="17" width="11.75" bestFit="1" customWidth="1"/>
    <col min="22" max="22" width="15.08203125" bestFit="1" customWidth="1"/>
    <col min="46" max="46" width="15.08203125" bestFit="1" customWidth="1"/>
    <col min="142" max="142" width="29.75" bestFit="1" customWidth="1"/>
  </cols>
  <sheetData>
    <row r="1" spans="1:52">
      <c r="A1" s="32" t="s">
        <v>234</v>
      </c>
      <c r="B1" t="s">
        <v>237</v>
      </c>
      <c r="V1" s="32" t="s">
        <v>242</v>
      </c>
      <c r="W1" t="s">
        <v>241</v>
      </c>
    </row>
    <row r="2" spans="1:52">
      <c r="B2" t="s">
        <v>153</v>
      </c>
      <c r="C2" t="s">
        <v>865</v>
      </c>
      <c r="W2" t="s">
        <v>239</v>
      </c>
      <c r="X2" t="s">
        <v>240</v>
      </c>
    </row>
    <row r="3" spans="1:52">
      <c r="W3" t="s">
        <v>238</v>
      </c>
    </row>
    <row r="4" spans="1:52" ht="20.5">
      <c r="AR4" s="364" t="s">
        <v>774</v>
      </c>
      <c r="AZ4" s="364" t="s">
        <v>774</v>
      </c>
    </row>
    <row r="5" spans="1:52" ht="20.5">
      <c r="AP5" s="364" t="s">
        <v>781</v>
      </c>
      <c r="AR5" t="s">
        <v>773</v>
      </c>
    </row>
    <row r="6" spans="1:52">
      <c r="AP6" t="s">
        <v>780</v>
      </c>
      <c r="AR6" t="s">
        <v>777</v>
      </c>
      <c r="AZ6" s="32" t="s">
        <v>778</v>
      </c>
    </row>
    <row r="7" spans="1:52">
      <c r="AO7" t="s">
        <v>782</v>
      </c>
      <c r="AP7" t="s">
        <v>776</v>
      </c>
      <c r="AR7" s="98"/>
      <c r="AS7" s="98" t="s">
        <v>764</v>
      </c>
      <c r="AT7" s="98" t="s">
        <v>765</v>
      </c>
      <c r="AU7" s="363" t="s">
        <v>766</v>
      </c>
      <c r="AV7" s="363" t="s">
        <v>767</v>
      </c>
      <c r="AW7" s="306" t="s">
        <v>768</v>
      </c>
      <c r="AX7" s="98" t="s">
        <v>769</v>
      </c>
      <c r="AZ7" s="368">
        <v>2.8500000000000001E-2</v>
      </c>
    </row>
    <row r="8" spans="1:52">
      <c r="AO8" s="97">
        <f>AP73</f>
        <v>0</v>
      </c>
      <c r="AP8">
        <v>2023</v>
      </c>
      <c r="AR8" s="98"/>
      <c r="AS8" s="98"/>
      <c r="AT8" s="369">
        <v>0</v>
      </c>
      <c r="AU8" s="371">
        <v>1</v>
      </c>
      <c r="AV8" s="371">
        <v>2</v>
      </c>
      <c r="AW8" s="370">
        <v>3</v>
      </c>
      <c r="AX8" s="369">
        <v>4</v>
      </c>
    </row>
    <row r="9" spans="1:52" ht="17.5" thickBot="1">
      <c r="A9" t="s">
        <v>312</v>
      </c>
      <c r="AR9" s="98" t="s">
        <v>770</v>
      </c>
      <c r="AS9" s="98">
        <v>100000</v>
      </c>
      <c r="AT9" s="365">
        <v>0.3</v>
      </c>
      <c r="AU9" s="372">
        <v>0.7</v>
      </c>
      <c r="AV9" s="372">
        <v>0.85</v>
      </c>
      <c r="AW9" s="366">
        <v>0.95</v>
      </c>
      <c r="AX9" s="365">
        <v>1</v>
      </c>
    </row>
    <row r="10" spans="1:52" ht="18" thickTop="1" thickBot="1">
      <c r="A10" s="476" t="s">
        <v>27</v>
      </c>
      <c r="B10" s="477"/>
      <c r="C10" s="125" t="s">
        <v>44</v>
      </c>
      <c r="D10" s="125" t="s">
        <v>45</v>
      </c>
      <c r="E10" s="125" t="s">
        <v>46</v>
      </c>
      <c r="F10" s="126" t="s">
        <v>11</v>
      </c>
      <c r="AR10" s="98" t="s">
        <v>771</v>
      </c>
      <c r="AS10" s="98">
        <v>50000</v>
      </c>
      <c r="AT10" s="365">
        <v>0.5</v>
      </c>
      <c r="AU10" s="372">
        <v>0.8</v>
      </c>
      <c r="AV10" s="372">
        <v>0.9</v>
      </c>
      <c r="AW10" s="366">
        <v>1</v>
      </c>
      <c r="AX10" s="365">
        <v>1</v>
      </c>
    </row>
    <row r="11" spans="1:52" ht="29.5" thickTop="1">
      <c r="A11" s="478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  <c r="AR11" s="306" t="s">
        <v>772</v>
      </c>
      <c r="AS11" s="306">
        <v>49999</v>
      </c>
      <c r="AT11" s="366">
        <v>0.7</v>
      </c>
      <c r="AU11" s="373">
        <v>0.9</v>
      </c>
      <c r="AV11" s="367">
        <v>1</v>
      </c>
      <c r="AW11" s="366">
        <v>1</v>
      </c>
      <c r="AX11" s="366">
        <v>1</v>
      </c>
    </row>
    <row r="12" spans="1:52" ht="29.5" thickBot="1">
      <c r="A12" s="479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52" ht="17.5" thickTop="1"/>
    <row r="16" spans="1:52" ht="18" thickBot="1">
      <c r="A16" s="157" t="s">
        <v>308</v>
      </c>
      <c r="L16" t="s">
        <v>245</v>
      </c>
      <c r="O16" s="157" t="s">
        <v>318</v>
      </c>
      <c r="X16" t="s">
        <v>245</v>
      </c>
    </row>
    <row r="17" spans="1:52" ht="17.5" thickTop="1">
      <c r="A17" s="480" t="s">
        <v>175</v>
      </c>
      <c r="B17" s="481"/>
      <c r="C17" s="481"/>
      <c r="D17" s="481"/>
      <c r="E17" s="482"/>
      <c r="F17" s="486" t="s">
        <v>165</v>
      </c>
      <c r="G17" s="487"/>
      <c r="H17" s="488"/>
      <c r="I17" s="105" t="s">
        <v>284</v>
      </c>
      <c r="J17" s="105" t="s">
        <v>286</v>
      </c>
      <c r="K17" s="105" t="s">
        <v>287</v>
      </c>
      <c r="L17" s="489" t="s">
        <v>21</v>
      </c>
      <c r="O17" s="491" t="s">
        <v>1</v>
      </c>
      <c r="P17" s="497" t="s">
        <v>288</v>
      </c>
      <c r="Q17" s="497"/>
      <c r="R17" s="497"/>
      <c r="S17" s="497"/>
      <c r="T17" s="497"/>
      <c r="U17" s="497"/>
      <c r="V17" s="497"/>
      <c r="W17" s="497"/>
      <c r="X17" s="497" t="s">
        <v>306</v>
      </c>
      <c r="Y17" s="497"/>
      <c r="Z17" s="497"/>
      <c r="AA17" s="497"/>
      <c r="AB17" s="497"/>
      <c r="AC17" s="497"/>
      <c r="AD17" s="497"/>
      <c r="AE17" s="497"/>
      <c r="AJ17" s="491" t="s">
        <v>1</v>
      </c>
      <c r="AK17" s="497" t="s">
        <v>288</v>
      </c>
      <c r="AL17" s="497"/>
      <c r="AM17" s="497"/>
      <c r="AN17" s="497"/>
      <c r="AO17" s="497"/>
      <c r="AP17" s="497"/>
      <c r="AQ17" s="497"/>
      <c r="AR17" s="497"/>
      <c r="AS17" s="497" t="s">
        <v>306</v>
      </c>
      <c r="AT17" s="497"/>
      <c r="AU17" s="497"/>
      <c r="AV17" s="497"/>
      <c r="AW17" s="497"/>
      <c r="AX17" s="497"/>
      <c r="AY17" s="497"/>
      <c r="AZ17" s="497"/>
    </row>
    <row r="18" spans="1:52" ht="17.5" thickBot="1">
      <c r="A18" s="483"/>
      <c r="B18" s="484"/>
      <c r="C18" s="484"/>
      <c r="D18" s="484"/>
      <c r="E18" s="485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90"/>
      <c r="O18" s="491"/>
      <c r="P18" s="498" t="s">
        <v>327</v>
      </c>
      <c r="Q18" s="499"/>
      <c r="R18" s="499"/>
      <c r="S18" s="499"/>
      <c r="T18" s="499"/>
      <c r="U18" s="500"/>
      <c r="V18" s="492" t="s">
        <v>250</v>
      </c>
      <c r="W18" s="492"/>
      <c r="X18" s="498" t="s">
        <v>327</v>
      </c>
      <c r="Y18" s="499"/>
      <c r="Z18" s="499"/>
      <c r="AA18" s="499"/>
      <c r="AB18" s="499"/>
      <c r="AC18" s="500"/>
      <c r="AD18" s="492" t="s">
        <v>250</v>
      </c>
      <c r="AE18" s="492"/>
      <c r="AJ18" s="491"/>
      <c r="AK18" s="498" t="s">
        <v>327</v>
      </c>
      <c r="AL18" s="499"/>
      <c r="AM18" s="499"/>
      <c r="AN18" s="499"/>
      <c r="AO18" s="499"/>
      <c r="AP18" s="500"/>
      <c r="AQ18" s="492" t="s">
        <v>250</v>
      </c>
      <c r="AR18" s="492"/>
      <c r="AS18" s="498" t="s">
        <v>327</v>
      </c>
      <c r="AT18" s="499"/>
      <c r="AU18" s="499"/>
      <c r="AV18" s="499"/>
      <c r="AW18" s="499"/>
      <c r="AX18" s="500"/>
      <c r="AY18" s="492" t="s">
        <v>250</v>
      </c>
      <c r="AZ18" s="492"/>
    </row>
    <row r="19" spans="1:52" ht="18" customHeight="1" thickTop="1">
      <c r="A19" s="478" t="s">
        <v>288</v>
      </c>
      <c r="B19" s="494" t="s">
        <v>26</v>
      </c>
      <c r="C19" s="495"/>
      <c r="D19" s="495"/>
      <c r="E19" s="496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491"/>
      <c r="P19" s="492" t="s">
        <v>325</v>
      </c>
      <c r="Q19" s="492"/>
      <c r="R19" s="492"/>
      <c r="S19" s="492"/>
      <c r="T19" s="492" t="s">
        <v>136</v>
      </c>
      <c r="U19" s="492"/>
      <c r="V19" s="492"/>
      <c r="W19" s="492"/>
      <c r="X19" s="492" t="s">
        <v>325</v>
      </c>
      <c r="Y19" s="492"/>
      <c r="Z19" s="492"/>
      <c r="AA19" s="492"/>
      <c r="AB19" s="492" t="s">
        <v>136</v>
      </c>
      <c r="AC19" s="492"/>
      <c r="AD19" s="492"/>
      <c r="AE19" s="492"/>
      <c r="AJ19" s="491"/>
      <c r="AK19" s="492" t="s">
        <v>325</v>
      </c>
      <c r="AL19" s="492"/>
      <c r="AM19" s="492"/>
      <c r="AN19" s="492"/>
      <c r="AO19" s="492" t="s">
        <v>136</v>
      </c>
      <c r="AP19" s="492"/>
      <c r="AQ19" s="492"/>
      <c r="AR19" s="492"/>
      <c r="AS19" s="492" t="s">
        <v>325</v>
      </c>
      <c r="AT19" s="492"/>
      <c r="AU19" s="492"/>
      <c r="AV19" s="492"/>
      <c r="AW19" s="492" t="s">
        <v>136</v>
      </c>
      <c r="AX19" s="492"/>
      <c r="AY19" s="492"/>
      <c r="AZ19" s="492"/>
    </row>
    <row r="20" spans="1:52">
      <c r="A20" s="493"/>
      <c r="B20" s="300" t="s">
        <v>289</v>
      </c>
      <c r="C20" s="501" t="s">
        <v>11</v>
      </c>
      <c r="D20" s="502"/>
      <c r="E20" s="503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491"/>
      <c r="P20" s="297" t="s">
        <v>314</v>
      </c>
      <c r="Q20" s="297" t="s">
        <v>285</v>
      </c>
      <c r="R20" s="104"/>
      <c r="S20" s="492" t="s">
        <v>166</v>
      </c>
      <c r="T20" s="492" t="s">
        <v>9</v>
      </c>
      <c r="U20" s="492" t="s">
        <v>10</v>
      </c>
      <c r="V20" s="492" t="s">
        <v>9</v>
      </c>
      <c r="W20" s="492" t="s">
        <v>10</v>
      </c>
      <c r="X20" s="297" t="s">
        <v>314</v>
      </c>
      <c r="Y20" s="297" t="s">
        <v>285</v>
      </c>
      <c r="Z20" s="104"/>
      <c r="AA20" s="492" t="s">
        <v>166</v>
      </c>
      <c r="AB20" s="492" t="s">
        <v>9</v>
      </c>
      <c r="AC20" s="492" t="s">
        <v>10</v>
      </c>
      <c r="AD20" s="492" t="s">
        <v>9</v>
      </c>
      <c r="AE20" s="492" t="s">
        <v>10</v>
      </c>
      <c r="AJ20" s="491"/>
      <c r="AK20" s="297" t="s">
        <v>314</v>
      </c>
      <c r="AL20" s="297" t="s">
        <v>285</v>
      </c>
      <c r="AM20" s="104"/>
      <c r="AN20" s="492" t="s">
        <v>166</v>
      </c>
      <c r="AO20" s="492" t="s">
        <v>9</v>
      </c>
      <c r="AP20" s="492" t="s">
        <v>10</v>
      </c>
      <c r="AQ20" s="492" t="s">
        <v>9</v>
      </c>
      <c r="AR20" s="492" t="s">
        <v>10</v>
      </c>
      <c r="AS20" s="297" t="s">
        <v>314</v>
      </c>
      <c r="AT20" s="297" t="s">
        <v>285</v>
      </c>
      <c r="AU20" s="104"/>
      <c r="AV20" s="492" t="s">
        <v>166</v>
      </c>
      <c r="AW20" s="492" t="s">
        <v>9</v>
      </c>
      <c r="AX20" s="492" t="s">
        <v>10</v>
      </c>
      <c r="AY20" s="492" t="s">
        <v>9</v>
      </c>
      <c r="AZ20" s="492" t="s">
        <v>10</v>
      </c>
    </row>
    <row r="21" spans="1:52">
      <c r="A21" s="493"/>
      <c r="B21" s="295" t="s">
        <v>290</v>
      </c>
      <c r="C21" s="300" t="s">
        <v>291</v>
      </c>
      <c r="D21" s="501" t="s">
        <v>292</v>
      </c>
      <c r="E21" s="503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491"/>
      <c r="P21" s="297" t="s">
        <v>44</v>
      </c>
      <c r="Q21" s="297" t="s">
        <v>45</v>
      </c>
      <c r="R21" s="297" t="s">
        <v>46</v>
      </c>
      <c r="S21" s="492"/>
      <c r="T21" s="492"/>
      <c r="U21" s="492"/>
      <c r="V21" s="492"/>
      <c r="W21" s="492"/>
      <c r="X21" s="297" t="s">
        <v>44</v>
      </c>
      <c r="Y21" s="297" t="s">
        <v>45</v>
      </c>
      <c r="Z21" s="297" t="s">
        <v>46</v>
      </c>
      <c r="AA21" s="492"/>
      <c r="AB21" s="492"/>
      <c r="AC21" s="492"/>
      <c r="AD21" s="492"/>
      <c r="AE21" s="492"/>
      <c r="AJ21" s="491"/>
      <c r="AK21" s="297" t="s">
        <v>44</v>
      </c>
      <c r="AL21" s="297" t="s">
        <v>45</v>
      </c>
      <c r="AM21" s="297" t="s">
        <v>46</v>
      </c>
      <c r="AN21" s="492"/>
      <c r="AO21" s="492"/>
      <c r="AP21" s="492"/>
      <c r="AQ21" s="492"/>
      <c r="AR21" s="492"/>
      <c r="AS21" s="297" t="s">
        <v>44</v>
      </c>
      <c r="AT21" s="297" t="s">
        <v>45</v>
      </c>
      <c r="AU21" s="297" t="s">
        <v>46</v>
      </c>
      <c r="AV21" s="492"/>
      <c r="AW21" s="492"/>
      <c r="AX21" s="492"/>
      <c r="AY21" s="492"/>
      <c r="AZ21" s="492"/>
    </row>
    <row r="22" spans="1:52">
      <c r="A22" s="493"/>
      <c r="B22" s="295" t="s">
        <v>19</v>
      </c>
      <c r="C22" s="296" t="s">
        <v>289</v>
      </c>
      <c r="D22" s="501" t="s">
        <v>293</v>
      </c>
      <c r="E22" s="503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298" t="s">
        <v>156</v>
      </c>
      <c r="P22" s="141">
        <f>AK22*0.01</f>
        <v>0.40700000000000003</v>
      </c>
      <c r="Q22" s="141">
        <f t="shared" ref="Q22:AE26" si="0">AL22*0.01</f>
        <v>7.0000000000000007E-2</v>
      </c>
      <c r="R22" s="141">
        <f t="shared" si="0"/>
        <v>0.28199999999999997</v>
      </c>
      <c r="S22" s="141">
        <f t="shared" si="0"/>
        <v>0.253</v>
      </c>
      <c r="T22" s="141">
        <f t="shared" si="0"/>
        <v>0.26600000000000001</v>
      </c>
      <c r="U22" s="141">
        <f t="shared" si="0"/>
        <v>0.28500000000000003</v>
      </c>
      <c r="V22" s="141">
        <f t="shared" si="0"/>
        <v>0.371</v>
      </c>
      <c r="W22" s="141">
        <f t="shared" si="0"/>
        <v>0.34899999999999998</v>
      </c>
      <c r="X22" s="141">
        <f t="shared" si="0"/>
        <v>0.40799999999999997</v>
      </c>
      <c r="Y22" s="141">
        <f t="shared" si="0"/>
        <v>7.0999999999999994E-2</v>
      </c>
      <c r="Z22" s="141">
        <f t="shared" si="0"/>
        <v>0.28399999999999997</v>
      </c>
      <c r="AA22" s="141">
        <f t="shared" si="0"/>
        <v>0.254</v>
      </c>
      <c r="AB22" s="141">
        <f t="shared" si="0"/>
        <v>0.26700000000000002</v>
      </c>
      <c r="AC22" s="141">
        <f t="shared" si="0"/>
        <v>0.28699999999999998</v>
      </c>
      <c r="AD22" s="141">
        <f t="shared" si="0"/>
        <v>0.37200000000000005</v>
      </c>
      <c r="AE22" s="141">
        <f t="shared" si="0"/>
        <v>0.35100000000000003</v>
      </c>
      <c r="AJ22" s="298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493"/>
      <c r="B23" s="112"/>
      <c r="C23" s="300" t="s">
        <v>294</v>
      </c>
      <c r="D23" s="501" t="s">
        <v>292</v>
      </c>
      <c r="E23" s="503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298" t="s">
        <v>157</v>
      </c>
      <c r="P23" s="141">
        <f t="shared" ref="P23:P26" si="1">AK23*0.01</f>
        <v>5.9000000000000004E-2</v>
      </c>
      <c r="Q23" s="141">
        <f t="shared" si="0"/>
        <v>2.4E-2</v>
      </c>
      <c r="R23" s="141">
        <f t="shared" si="0"/>
        <v>7.0000000000000007E-2</v>
      </c>
      <c r="S23" s="141">
        <f t="shared" si="0"/>
        <v>7.400000000000001E-2</v>
      </c>
      <c r="T23" s="141">
        <f t="shared" si="0"/>
        <v>1.9E-2</v>
      </c>
      <c r="U23" s="141">
        <f t="shared" si="0"/>
        <v>3.9E-2</v>
      </c>
      <c r="V23" s="141">
        <f t="shared" si="0"/>
        <v>9.6000000000000002E-2</v>
      </c>
      <c r="W23" s="141">
        <f t="shared" si="0"/>
        <v>9.3000000000000013E-2</v>
      </c>
      <c r="X23" s="141">
        <f t="shared" si="0"/>
        <v>5.9000000000000004E-2</v>
      </c>
      <c r="Y23" s="141">
        <f t="shared" si="0"/>
        <v>2.4E-2</v>
      </c>
      <c r="Z23" s="141">
        <f t="shared" si="0"/>
        <v>7.0999999999999994E-2</v>
      </c>
      <c r="AA23" s="141">
        <f t="shared" si="0"/>
        <v>7.4999999999999997E-2</v>
      </c>
      <c r="AB23" s="141">
        <f t="shared" si="0"/>
        <v>1.9E-2</v>
      </c>
      <c r="AC23" s="141">
        <f t="shared" si="0"/>
        <v>3.9E-2</v>
      </c>
      <c r="AD23" s="141">
        <f t="shared" si="0"/>
        <v>9.6999999999999989E-2</v>
      </c>
      <c r="AE23" s="141">
        <f t="shared" si="0"/>
        <v>9.4E-2</v>
      </c>
      <c r="AJ23" s="298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493"/>
      <c r="B24" s="112"/>
      <c r="C24" s="295" t="s">
        <v>289</v>
      </c>
      <c r="D24" s="504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298" t="s">
        <v>158</v>
      </c>
      <c r="P24" s="141">
        <f t="shared" si="1"/>
        <v>0.40100000000000002</v>
      </c>
      <c r="Q24" s="141">
        <f t="shared" si="0"/>
        <v>0.39100000000000001</v>
      </c>
      <c r="R24" s="141">
        <f t="shared" si="0"/>
        <v>0.40799999999999997</v>
      </c>
      <c r="S24" s="141">
        <f t="shared" si="0"/>
        <v>0.42</v>
      </c>
      <c r="T24" s="141">
        <f t="shared" si="0"/>
        <v>0.55299999999999994</v>
      </c>
      <c r="U24" s="141">
        <f t="shared" si="0"/>
        <v>0.19700000000000001</v>
      </c>
      <c r="V24" s="141">
        <f t="shared" si="0"/>
        <v>0.34799999999999998</v>
      </c>
      <c r="W24" s="141">
        <f t="shared" si="0"/>
        <v>0.35799999999999998</v>
      </c>
      <c r="X24" s="141">
        <f t="shared" si="0"/>
        <v>0.4</v>
      </c>
      <c r="Y24" s="141">
        <f t="shared" si="0"/>
        <v>0.39200000000000002</v>
      </c>
      <c r="Z24" s="141">
        <f t="shared" si="0"/>
        <v>0.40799999999999997</v>
      </c>
      <c r="AA24" s="141">
        <f t="shared" si="0"/>
        <v>0.42</v>
      </c>
      <c r="AB24" s="141">
        <f t="shared" si="0"/>
        <v>0.55299999999999994</v>
      </c>
      <c r="AC24" s="141">
        <f t="shared" si="0"/>
        <v>0.19700000000000001</v>
      </c>
      <c r="AD24" s="141">
        <f t="shared" si="0"/>
        <v>0.34799999999999998</v>
      </c>
      <c r="AE24" s="141">
        <f t="shared" si="0"/>
        <v>0.35700000000000004</v>
      </c>
      <c r="AJ24" s="298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493"/>
      <c r="B25" s="112"/>
      <c r="C25" s="112"/>
      <c r="D25" s="505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298" t="s">
        <v>46</v>
      </c>
      <c r="P25" s="141">
        <f t="shared" si="1"/>
        <v>0.13300000000000001</v>
      </c>
      <c r="Q25" s="141">
        <f t="shared" si="0"/>
        <v>0.51400000000000001</v>
      </c>
      <c r="R25" s="141">
        <f t="shared" si="0"/>
        <v>0.23899999999999999</v>
      </c>
      <c r="S25" s="141">
        <f t="shared" si="0"/>
        <v>0.253</v>
      </c>
      <c r="T25" s="141">
        <f t="shared" si="0"/>
        <v>0.16200000000000001</v>
      </c>
      <c r="U25" s="141">
        <f t="shared" si="0"/>
        <v>0.47899999999999998</v>
      </c>
      <c r="V25" s="141">
        <f t="shared" si="0"/>
        <v>0.185</v>
      </c>
      <c r="W25" s="141">
        <f t="shared" si="0"/>
        <v>0.19899999999999998</v>
      </c>
      <c r="X25" s="141">
        <f t="shared" si="0"/>
        <v>0.13200000000000001</v>
      </c>
      <c r="Y25" s="141">
        <f t="shared" si="0"/>
        <v>0.51300000000000001</v>
      </c>
      <c r="Z25" s="141">
        <f t="shared" si="0"/>
        <v>0.23800000000000002</v>
      </c>
      <c r="AA25" s="141">
        <f t="shared" si="0"/>
        <v>0.251</v>
      </c>
      <c r="AB25" s="141">
        <f t="shared" si="0"/>
        <v>0.161</v>
      </c>
      <c r="AC25" s="141">
        <f t="shared" si="0"/>
        <v>0.47600000000000003</v>
      </c>
      <c r="AD25" s="141">
        <f t="shared" si="0"/>
        <v>0.18300000000000002</v>
      </c>
      <c r="AE25" s="141">
        <f t="shared" si="0"/>
        <v>0.19800000000000001</v>
      </c>
      <c r="AJ25" s="298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493"/>
      <c r="B26" s="112"/>
      <c r="C26" s="112"/>
      <c r="D26" s="506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298" t="s">
        <v>11</v>
      </c>
      <c r="P26" s="141">
        <f t="shared" si="1"/>
        <v>1</v>
      </c>
      <c r="Q26" s="141">
        <f t="shared" si="0"/>
        <v>1</v>
      </c>
      <c r="R26" s="141">
        <f t="shared" si="0"/>
        <v>1</v>
      </c>
      <c r="S26" s="141">
        <f t="shared" si="0"/>
        <v>1</v>
      </c>
      <c r="T26" s="141">
        <f t="shared" si="0"/>
        <v>1</v>
      </c>
      <c r="U26" s="141">
        <f t="shared" si="0"/>
        <v>1</v>
      </c>
      <c r="V26" s="141">
        <f t="shared" si="0"/>
        <v>1</v>
      </c>
      <c r="W26" s="141">
        <f t="shared" si="0"/>
        <v>1</v>
      </c>
      <c r="X26" s="141">
        <f t="shared" si="0"/>
        <v>1</v>
      </c>
      <c r="Y26" s="141">
        <f t="shared" si="0"/>
        <v>1</v>
      </c>
      <c r="Z26" s="141">
        <f t="shared" si="0"/>
        <v>1</v>
      </c>
      <c r="AA26" s="141">
        <f t="shared" si="0"/>
        <v>1</v>
      </c>
      <c r="AB26" s="141">
        <f t="shared" si="0"/>
        <v>1</v>
      </c>
      <c r="AC26" s="141">
        <f t="shared" si="0"/>
        <v>1</v>
      </c>
      <c r="AD26" s="141">
        <f t="shared" si="0"/>
        <v>1</v>
      </c>
      <c r="AE26" s="141">
        <f t="shared" si="0"/>
        <v>1</v>
      </c>
      <c r="AJ26" s="298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493"/>
      <c r="B27" s="112"/>
      <c r="C27" s="112"/>
      <c r="D27" s="30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493"/>
      <c r="B28" s="112"/>
      <c r="C28" s="112"/>
      <c r="D28" s="295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493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493"/>
      <c r="B30" s="113"/>
      <c r="C30" s="501" t="s">
        <v>13</v>
      </c>
      <c r="D30" s="502"/>
      <c r="E30" s="503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493"/>
      <c r="B31" s="300" t="s">
        <v>300</v>
      </c>
      <c r="C31" s="501" t="s">
        <v>301</v>
      </c>
      <c r="D31" s="502"/>
      <c r="E31" s="503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493"/>
      <c r="B32" s="295" t="s">
        <v>20</v>
      </c>
      <c r="C32" s="501" t="s">
        <v>302</v>
      </c>
      <c r="D32" s="502"/>
      <c r="E32" s="503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38">
      <c r="A33" s="493"/>
      <c r="B33" s="295" t="s">
        <v>19</v>
      </c>
      <c r="C33" s="501" t="s">
        <v>303</v>
      </c>
      <c r="D33" s="502"/>
      <c r="E33" s="503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38" ht="17.5" thickBot="1">
      <c r="A34" s="493"/>
      <c r="B34" s="112"/>
      <c r="C34" s="501" t="s">
        <v>304</v>
      </c>
      <c r="D34" s="502"/>
      <c r="E34" s="503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38" ht="18" thickTop="1" thickBot="1">
      <c r="A35" s="493"/>
      <c r="B35" s="112"/>
      <c r="C35" s="501" t="s">
        <v>305</v>
      </c>
      <c r="D35" s="502"/>
      <c r="E35" s="503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476" t="s">
        <v>1</v>
      </c>
      <c r="AD35" s="507"/>
      <c r="AE35" s="507"/>
      <c r="AF35" s="507"/>
      <c r="AG35" s="477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38" ht="18" thickTop="1" thickBot="1">
      <c r="A36" s="479"/>
      <c r="B36" s="119"/>
      <c r="C36" s="508" t="s">
        <v>47</v>
      </c>
      <c r="D36" s="509"/>
      <c r="E36" s="510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478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38" ht="17.5" thickTop="1">
      <c r="A37" s="512" t="s">
        <v>306</v>
      </c>
      <c r="B37" s="513" t="s">
        <v>26</v>
      </c>
      <c r="C37" s="514"/>
      <c r="D37" s="514"/>
      <c r="E37" s="515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493"/>
      <c r="AD37" s="295" t="s">
        <v>19</v>
      </c>
      <c r="AE37" s="295" t="s">
        <v>294</v>
      </c>
      <c r="AF37" s="295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38">
      <c r="A38" s="493"/>
      <c r="B38" s="300" t="s">
        <v>289</v>
      </c>
      <c r="C38" s="501" t="s">
        <v>11</v>
      </c>
      <c r="D38" s="502"/>
      <c r="E38" s="503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493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38">
      <c r="A39" s="493"/>
      <c r="B39" s="295" t="s">
        <v>290</v>
      </c>
      <c r="C39" s="300" t="s">
        <v>291</v>
      </c>
      <c r="D39" s="501" t="s">
        <v>292</v>
      </c>
      <c r="E39" s="503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493"/>
      <c r="AD39" s="112"/>
      <c r="AE39" s="113"/>
      <c r="AF39" s="501" t="s">
        <v>166</v>
      </c>
      <c r="AG39" s="503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38">
      <c r="A40" s="493"/>
      <c r="B40" s="295" t="s">
        <v>19</v>
      </c>
      <c r="C40" s="296" t="s">
        <v>289</v>
      </c>
      <c r="D40" s="501" t="s">
        <v>293</v>
      </c>
      <c r="E40" s="503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493"/>
      <c r="AD40" s="112"/>
      <c r="AE40" s="300" t="s">
        <v>315</v>
      </c>
      <c r="AF40" s="501" t="s">
        <v>9</v>
      </c>
      <c r="AG40" s="503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38">
      <c r="A41" s="493"/>
      <c r="B41" s="112"/>
      <c r="C41" s="300" t="s">
        <v>294</v>
      </c>
      <c r="D41" s="501" t="s">
        <v>292</v>
      </c>
      <c r="E41" s="503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493"/>
      <c r="AD41" s="113"/>
      <c r="AE41" s="296" t="s">
        <v>316</v>
      </c>
      <c r="AF41" s="501" t="s">
        <v>10</v>
      </c>
      <c r="AG41" s="503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38">
      <c r="A42" s="493"/>
      <c r="B42" s="112"/>
      <c r="C42" s="295" t="s">
        <v>289</v>
      </c>
      <c r="D42" s="504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493"/>
      <c r="AD42" s="516" t="s">
        <v>250</v>
      </c>
      <c r="AE42" s="517"/>
      <c r="AF42" s="501" t="s">
        <v>9</v>
      </c>
      <c r="AG42" s="503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38">
      <c r="A43" s="493"/>
      <c r="B43" s="112"/>
      <c r="C43" s="112"/>
      <c r="D43" s="505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11"/>
      <c r="AD43" s="518"/>
      <c r="AE43" s="519"/>
      <c r="AF43" s="501" t="s">
        <v>10</v>
      </c>
      <c r="AG43" s="503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38" ht="29">
      <c r="A44" s="493"/>
      <c r="B44" s="112"/>
      <c r="C44" s="112"/>
      <c r="D44" s="506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20" t="s">
        <v>306</v>
      </c>
      <c r="AD44" s="300" t="s">
        <v>313</v>
      </c>
      <c r="AE44" s="300" t="s">
        <v>291</v>
      </c>
      <c r="AF44" s="30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</row>
    <row r="45" spans="1:38">
      <c r="A45" s="493"/>
      <c r="B45" s="112"/>
      <c r="C45" s="112"/>
      <c r="D45" s="30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493"/>
      <c r="AD45" s="295" t="s">
        <v>19</v>
      </c>
      <c r="AE45" s="295" t="s">
        <v>294</v>
      </c>
      <c r="AF45" s="295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</row>
    <row r="46" spans="1:38" ht="29">
      <c r="A46" s="493"/>
      <c r="B46" s="112"/>
      <c r="C46" s="112"/>
      <c r="D46" s="295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493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</row>
    <row r="47" spans="1:38">
      <c r="A47" s="493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493"/>
      <c r="AD47" s="112"/>
      <c r="AE47" s="113"/>
      <c r="AF47" s="501" t="s">
        <v>166</v>
      </c>
      <c r="AG47" s="503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</row>
    <row r="48" spans="1:38">
      <c r="A48" s="493"/>
      <c r="B48" s="113"/>
      <c r="C48" s="501" t="s">
        <v>13</v>
      </c>
      <c r="D48" s="502"/>
      <c r="E48" s="503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493"/>
      <c r="AD48" s="112"/>
      <c r="AE48" s="300" t="s">
        <v>315</v>
      </c>
      <c r="AF48" s="501" t="s">
        <v>9</v>
      </c>
      <c r="AG48" s="503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</row>
    <row r="49" spans="1:49">
      <c r="A49" s="493"/>
      <c r="B49" s="300" t="s">
        <v>300</v>
      </c>
      <c r="C49" s="501" t="s">
        <v>301</v>
      </c>
      <c r="D49" s="502"/>
      <c r="E49" s="503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493"/>
      <c r="AD49" s="113"/>
      <c r="AE49" s="296" t="s">
        <v>316</v>
      </c>
      <c r="AF49" s="501" t="s">
        <v>10</v>
      </c>
      <c r="AG49" s="503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</row>
    <row r="50" spans="1:49">
      <c r="A50" s="493"/>
      <c r="B50" s="295" t="s">
        <v>20</v>
      </c>
      <c r="C50" s="501" t="s">
        <v>302</v>
      </c>
      <c r="D50" s="502"/>
      <c r="E50" s="503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493"/>
      <c r="AD50" s="516" t="s">
        <v>250</v>
      </c>
      <c r="AE50" s="517"/>
      <c r="AF50" s="501" t="s">
        <v>9</v>
      </c>
      <c r="AG50" s="503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</row>
    <row r="51" spans="1:49" ht="17.5" thickBot="1">
      <c r="A51" s="493"/>
      <c r="B51" s="295" t="s">
        <v>19</v>
      </c>
      <c r="C51" s="501" t="s">
        <v>303</v>
      </c>
      <c r="D51" s="502"/>
      <c r="E51" s="503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479"/>
      <c r="AD51" s="525"/>
      <c r="AE51" s="526"/>
      <c r="AF51" s="508" t="s">
        <v>10</v>
      </c>
      <c r="AG51" s="510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</row>
    <row r="52" spans="1:49" ht="17.5" thickTop="1">
      <c r="A52" s="493"/>
      <c r="B52" s="112"/>
      <c r="C52" s="501" t="s">
        <v>304</v>
      </c>
      <c r="D52" s="502"/>
      <c r="E52" s="503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</row>
    <row r="53" spans="1:49">
      <c r="A53" s="493"/>
      <c r="B53" s="112"/>
      <c r="C53" s="501" t="s">
        <v>305</v>
      </c>
      <c r="D53" s="502"/>
      <c r="E53" s="503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</row>
    <row r="54" spans="1:49" ht="17.5" thickBot="1">
      <c r="A54" s="479"/>
      <c r="B54" s="119"/>
      <c r="C54" s="508" t="s">
        <v>47</v>
      </c>
      <c r="D54" s="509"/>
      <c r="E54" s="510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</row>
    <row r="55" spans="1:49" ht="17.5" thickTop="1">
      <c r="AU55" t="s">
        <v>147</v>
      </c>
      <c r="AV55" t="s">
        <v>148</v>
      </c>
      <c r="AW55" s="32" t="s">
        <v>74</v>
      </c>
    </row>
    <row r="56" spans="1:49" ht="23">
      <c r="A56" s="154" t="s">
        <v>333</v>
      </c>
      <c r="AU56" t="s">
        <v>657</v>
      </c>
      <c r="AV56" t="s">
        <v>643</v>
      </c>
      <c r="AW56" s="75">
        <v>8014.2473</v>
      </c>
    </row>
    <row r="57" spans="1:49">
      <c r="A57" s="32" t="s">
        <v>665</v>
      </c>
      <c r="AU57" t="s">
        <v>135</v>
      </c>
      <c r="AV57" t="s">
        <v>217</v>
      </c>
      <c r="AW57" s="75">
        <v>5231.5074000000004</v>
      </c>
    </row>
    <row r="58" spans="1:49" ht="18" customHeight="1" thickBot="1">
      <c r="L58" t="s">
        <v>666</v>
      </c>
      <c r="Q58" t="s">
        <v>667</v>
      </c>
      <c r="AU58" t="s">
        <v>657</v>
      </c>
      <c r="AV58" t="s">
        <v>359</v>
      </c>
      <c r="AW58" s="75">
        <v>5055.2204000000002</v>
      </c>
    </row>
    <row r="59" spans="1:49" ht="17.5" thickTop="1">
      <c r="A59" s="521" t="s">
        <v>175</v>
      </c>
      <c r="B59" s="522"/>
      <c r="C59" s="522"/>
      <c r="D59" s="522"/>
      <c r="E59" s="523"/>
      <c r="F59" s="486" t="s">
        <v>165</v>
      </c>
      <c r="G59" s="487"/>
      <c r="H59" s="488"/>
      <c r="I59" s="105" t="s">
        <v>284</v>
      </c>
      <c r="J59" s="105" t="s">
        <v>286</v>
      </c>
      <c r="K59" s="105" t="s">
        <v>287</v>
      </c>
      <c r="L59" s="489" t="s">
        <v>21</v>
      </c>
      <c r="Q59" s="521" t="s">
        <v>175</v>
      </c>
      <c r="R59" s="522"/>
      <c r="S59" s="522"/>
      <c r="T59" s="522"/>
      <c r="U59" s="523"/>
      <c r="V59" s="486" t="s">
        <v>165</v>
      </c>
      <c r="W59" s="487"/>
      <c r="X59" s="488"/>
      <c r="Y59" s="105" t="s">
        <v>284</v>
      </c>
      <c r="Z59" s="105" t="s">
        <v>286</v>
      </c>
      <c r="AA59" s="105" t="s">
        <v>287</v>
      </c>
      <c r="AB59" s="489" t="s">
        <v>21</v>
      </c>
      <c r="AU59" t="s">
        <v>644</v>
      </c>
      <c r="AV59" t="s">
        <v>360</v>
      </c>
      <c r="AW59" s="75">
        <v>6559.1377000000002</v>
      </c>
    </row>
    <row r="60" spans="1:49" ht="17.5" thickBot="1">
      <c r="A60" s="524"/>
      <c r="B60" s="484"/>
      <c r="C60" s="484"/>
      <c r="D60" s="484"/>
      <c r="E60" s="485"/>
      <c r="F60" s="107" t="s">
        <v>44</v>
      </c>
      <c r="G60" s="107" t="s">
        <v>45</v>
      </c>
      <c r="H60" s="107" t="s">
        <v>46</v>
      </c>
      <c r="I60" s="106" t="s">
        <v>285</v>
      </c>
      <c r="J60" s="106" t="s">
        <v>285</v>
      </c>
      <c r="K60" s="106" t="s">
        <v>285</v>
      </c>
      <c r="L60" s="490"/>
      <c r="Q60" s="524"/>
      <c r="R60" s="484"/>
      <c r="S60" s="484"/>
      <c r="T60" s="484"/>
      <c r="U60" s="485"/>
      <c r="V60" s="107" t="s">
        <v>44</v>
      </c>
      <c r="W60" s="107" t="s">
        <v>45</v>
      </c>
      <c r="X60" s="107" t="s">
        <v>46</v>
      </c>
      <c r="Y60" s="106" t="s">
        <v>285</v>
      </c>
      <c r="Z60" s="106" t="s">
        <v>285</v>
      </c>
      <c r="AA60" s="106" t="s">
        <v>285</v>
      </c>
      <c r="AB60" s="490"/>
      <c r="AU60" t="s">
        <v>135</v>
      </c>
      <c r="AV60" t="s">
        <v>361</v>
      </c>
      <c r="AW60" s="75">
        <v>8261.5616000000009</v>
      </c>
    </row>
    <row r="61" spans="1:49" ht="37" thickTop="1">
      <c r="A61" s="145">
        <v>2023</v>
      </c>
      <c r="B61" s="300" t="s">
        <v>289</v>
      </c>
      <c r="C61" s="300"/>
      <c r="D61" s="501" t="s">
        <v>135</v>
      </c>
      <c r="E61" s="502"/>
      <c r="F61" s="97">
        <f t="shared" ref="F61:K61" si="2">F21</f>
        <v>437</v>
      </c>
      <c r="G61" s="97">
        <f t="shared" si="2"/>
        <v>130</v>
      </c>
      <c r="H61" s="97">
        <f t="shared" si="2"/>
        <v>499</v>
      </c>
      <c r="I61" s="97">
        <f t="shared" si="2"/>
        <v>448</v>
      </c>
      <c r="J61" s="97">
        <f t="shared" si="2"/>
        <v>0</v>
      </c>
      <c r="K61" s="97">
        <f t="shared" si="2"/>
        <v>0</v>
      </c>
      <c r="L61" s="97">
        <f>L21</f>
        <v>1515</v>
      </c>
      <c r="Q61" s="328">
        <v>2023</v>
      </c>
      <c r="R61" s="312" t="s">
        <v>289</v>
      </c>
      <c r="T61" t="s">
        <v>135</v>
      </c>
      <c r="U61" t="s">
        <v>135</v>
      </c>
      <c r="V61" s="97">
        <f>F61/2</f>
        <v>218.5</v>
      </c>
      <c r="W61" s="97">
        <f t="shared" ref="W61:W72" si="3">G61/2</f>
        <v>65</v>
      </c>
      <c r="X61" s="97">
        <f t="shared" ref="X61:X72" si="4">H61/2</f>
        <v>249.5</v>
      </c>
      <c r="Y61" s="97"/>
      <c r="Z61" s="97">
        <f t="shared" ref="Z61:Z72" si="5">J61/2</f>
        <v>0</v>
      </c>
      <c r="AA61" s="97"/>
      <c r="AB61" s="97">
        <f>SUM(V61:X61,Z61)</f>
        <v>533</v>
      </c>
      <c r="AU61" t="s">
        <v>135</v>
      </c>
      <c r="AV61" t="s">
        <v>362</v>
      </c>
      <c r="AW61" s="75">
        <v>22890.217400000001</v>
      </c>
    </row>
    <row r="62" spans="1:49">
      <c r="A62" s="145"/>
      <c r="B62" s="295" t="s">
        <v>290</v>
      </c>
      <c r="C62" s="112"/>
      <c r="D62" s="505" t="s">
        <v>322</v>
      </c>
      <c r="E62" s="41" t="s">
        <v>296</v>
      </c>
      <c r="F62" s="97">
        <f t="shared" ref="F62:K62" si="6">F25</f>
        <v>9511</v>
      </c>
      <c r="G62" s="97">
        <f t="shared" si="6"/>
        <v>2841</v>
      </c>
      <c r="H62" s="97">
        <f t="shared" si="6"/>
        <v>10863</v>
      </c>
      <c r="I62" s="97">
        <f t="shared" si="6"/>
        <v>12097</v>
      </c>
      <c r="J62" s="97">
        <f t="shared" si="6"/>
        <v>0</v>
      </c>
      <c r="K62" s="97">
        <f t="shared" si="6"/>
        <v>0</v>
      </c>
      <c r="L62" s="97">
        <f>L25</f>
        <v>35312</v>
      </c>
      <c r="Q62" s="145"/>
      <c r="R62" s="311" t="s">
        <v>290</v>
      </c>
      <c r="T62" t="s">
        <v>322</v>
      </c>
      <c r="U62" t="s">
        <v>668</v>
      </c>
      <c r="V62" s="97">
        <f t="shared" ref="V62:V72" si="7">F62/2</f>
        <v>4755.5</v>
      </c>
      <c r="W62" s="97">
        <f t="shared" si="3"/>
        <v>1420.5</v>
      </c>
      <c r="X62" s="97">
        <f t="shared" si="4"/>
        <v>5431.5</v>
      </c>
      <c r="Y62" s="97"/>
      <c r="Z62" s="97">
        <f t="shared" si="5"/>
        <v>0</v>
      </c>
      <c r="AA62" s="97"/>
      <c r="AB62" s="97">
        <f t="shared" ref="AB62:AB73" si="8">SUM(V62:X62,Z62)</f>
        <v>11607.5</v>
      </c>
      <c r="AU62" t="s">
        <v>644</v>
      </c>
      <c r="AV62" t="s">
        <v>363</v>
      </c>
      <c r="AW62" s="75">
        <v>10963.124400000001</v>
      </c>
    </row>
    <row r="63" spans="1:49" ht="29">
      <c r="A63" s="145"/>
      <c r="B63" s="295" t="s">
        <v>19</v>
      </c>
      <c r="C63" s="112"/>
      <c r="D63" s="506"/>
      <c r="E63" s="41" t="s">
        <v>297</v>
      </c>
      <c r="F63" s="97">
        <f t="shared" ref="F63:K63" si="9">F26</f>
        <v>7149</v>
      </c>
      <c r="G63" s="97">
        <f t="shared" si="9"/>
        <v>2136</v>
      </c>
      <c r="H63" s="97">
        <f t="shared" si="9"/>
        <v>8165</v>
      </c>
      <c r="I63" s="97">
        <f t="shared" si="9"/>
        <v>7340</v>
      </c>
      <c r="J63" s="97">
        <f t="shared" si="9"/>
        <v>0</v>
      </c>
      <c r="K63" s="97">
        <f t="shared" si="9"/>
        <v>0</v>
      </c>
      <c r="L63" s="97">
        <f>L26</f>
        <v>24790</v>
      </c>
      <c r="Q63" s="145"/>
      <c r="R63" s="311" t="s">
        <v>19</v>
      </c>
      <c r="U63" t="s">
        <v>670</v>
      </c>
      <c r="V63" s="97">
        <f t="shared" si="7"/>
        <v>3574.5</v>
      </c>
      <c r="W63" s="97">
        <f t="shared" si="3"/>
        <v>1068</v>
      </c>
      <c r="X63" s="97">
        <f t="shared" si="4"/>
        <v>4082.5</v>
      </c>
      <c r="Y63" s="97"/>
      <c r="Z63" s="97">
        <f t="shared" si="5"/>
        <v>0</v>
      </c>
      <c r="AA63" s="97"/>
      <c r="AB63" s="97">
        <f t="shared" si="8"/>
        <v>8725</v>
      </c>
      <c r="AU63" t="s">
        <v>645</v>
      </c>
      <c r="AV63" t="s">
        <v>75</v>
      </c>
      <c r="AW63" s="75">
        <v>26312.316800000001</v>
      </c>
    </row>
    <row r="64" spans="1:49" ht="16.5" customHeight="1">
      <c r="A64" s="145"/>
      <c r="B64" s="112"/>
      <c r="C64" s="112"/>
      <c r="D64" s="295" t="s">
        <v>197</v>
      </c>
      <c r="E64" s="41" t="s">
        <v>297</v>
      </c>
      <c r="F64" s="97">
        <f t="shared" ref="F64:K64" si="10">F28</f>
        <v>1150</v>
      </c>
      <c r="G64" s="97">
        <f t="shared" si="10"/>
        <v>343</v>
      </c>
      <c r="H64" s="97">
        <f t="shared" si="10"/>
        <v>1313</v>
      </c>
      <c r="I64" s="97">
        <f t="shared" si="10"/>
        <v>1181</v>
      </c>
      <c r="J64" s="97">
        <f t="shared" si="10"/>
        <v>0</v>
      </c>
      <c r="K64" s="97">
        <f t="shared" si="10"/>
        <v>0</v>
      </c>
      <c r="L64" s="97">
        <f t="shared" ref="L64:L72" si="11">L28</f>
        <v>3987</v>
      </c>
      <c r="Q64" s="145"/>
      <c r="R64" s="112"/>
      <c r="T64" t="s">
        <v>197</v>
      </c>
      <c r="U64" t="s">
        <v>672</v>
      </c>
      <c r="V64" s="97">
        <f t="shared" si="7"/>
        <v>575</v>
      </c>
      <c r="W64" s="97">
        <f t="shared" si="3"/>
        <v>171.5</v>
      </c>
      <c r="X64" s="97">
        <f t="shared" si="4"/>
        <v>656.5</v>
      </c>
      <c r="Y64" s="97"/>
      <c r="Z64" s="97">
        <f t="shared" si="5"/>
        <v>0</v>
      </c>
      <c r="AA64" s="97"/>
      <c r="AB64" s="97">
        <f t="shared" si="8"/>
        <v>1403</v>
      </c>
      <c r="AU64" t="s">
        <v>370</v>
      </c>
      <c r="AV64" t="s">
        <v>76</v>
      </c>
      <c r="AW64" s="75">
        <v>25868.347099999999</v>
      </c>
    </row>
    <row r="65" spans="1:49">
      <c r="A65" s="145"/>
      <c r="B65" s="112"/>
      <c r="C65" s="113"/>
      <c r="D65" s="113"/>
      <c r="E65" s="41" t="s">
        <v>299</v>
      </c>
      <c r="F65" s="97">
        <f t="shared" ref="F65:K65" si="12">F29</f>
        <v>2012</v>
      </c>
      <c r="G65" s="97">
        <f t="shared" si="12"/>
        <v>601</v>
      </c>
      <c r="H65" s="97">
        <f t="shared" si="12"/>
        <v>2298</v>
      </c>
      <c r="I65" s="97">
        <f t="shared" si="12"/>
        <v>2066</v>
      </c>
      <c r="J65" s="97">
        <f t="shared" si="12"/>
        <v>0</v>
      </c>
      <c r="K65" s="97">
        <f t="shared" si="12"/>
        <v>0</v>
      </c>
      <c r="L65" s="97">
        <f t="shared" si="11"/>
        <v>6977</v>
      </c>
      <c r="Q65" s="145"/>
      <c r="R65" s="112"/>
      <c r="U65" t="s">
        <v>675</v>
      </c>
      <c r="V65" s="97">
        <f t="shared" si="7"/>
        <v>1006</v>
      </c>
      <c r="W65" s="97">
        <f t="shared" si="3"/>
        <v>300.5</v>
      </c>
      <c r="X65" s="97">
        <f t="shared" si="4"/>
        <v>1149</v>
      </c>
      <c r="Y65" s="97"/>
      <c r="Z65" s="97">
        <f t="shared" si="5"/>
        <v>0</v>
      </c>
      <c r="AA65" s="97"/>
      <c r="AB65" s="97">
        <f t="shared" si="8"/>
        <v>2455.5</v>
      </c>
      <c r="AU65" t="s">
        <v>658</v>
      </c>
      <c r="AV65" t="s">
        <v>220</v>
      </c>
      <c r="AW65" s="75">
        <v>51875.97</v>
      </c>
    </row>
    <row r="66" spans="1:49" ht="17.149999999999999" customHeight="1">
      <c r="A66" s="145"/>
      <c r="B66" s="113"/>
      <c r="C66" s="501" t="s">
        <v>13</v>
      </c>
      <c r="D66" s="502"/>
      <c r="E66" s="502"/>
      <c r="F66" s="97">
        <f t="shared" ref="F66:K66" si="13">F30</f>
        <v>0</v>
      </c>
      <c r="G66" s="97">
        <f t="shared" si="13"/>
        <v>0</v>
      </c>
      <c r="H66" s="97">
        <f t="shared" si="13"/>
        <v>0</v>
      </c>
      <c r="I66" s="97">
        <f t="shared" si="13"/>
        <v>0</v>
      </c>
      <c r="J66" s="97">
        <f t="shared" si="13"/>
        <v>1639</v>
      </c>
      <c r="K66" s="97">
        <f t="shared" si="13"/>
        <v>17657</v>
      </c>
      <c r="L66" s="97">
        <f t="shared" si="11"/>
        <v>19297</v>
      </c>
      <c r="Q66" s="145"/>
      <c r="R66" s="113"/>
      <c r="S66" t="s">
        <v>13</v>
      </c>
      <c r="U66" t="s">
        <v>13</v>
      </c>
      <c r="V66" s="97">
        <f t="shared" si="7"/>
        <v>0</v>
      </c>
      <c r="W66" s="97">
        <f t="shared" si="3"/>
        <v>0</v>
      </c>
      <c r="X66" s="97">
        <f t="shared" si="4"/>
        <v>0</v>
      </c>
      <c r="Y66" s="97"/>
      <c r="Z66" s="97">
        <f t="shared" si="5"/>
        <v>819.5</v>
      </c>
      <c r="AA66" s="97"/>
      <c r="AB66" s="97">
        <f t="shared" si="8"/>
        <v>819.5</v>
      </c>
      <c r="AU66" t="s">
        <v>645</v>
      </c>
      <c r="AV66" t="s">
        <v>221</v>
      </c>
      <c r="AW66" s="75">
        <v>22244.514299999999</v>
      </c>
    </row>
    <row r="67" spans="1:49" ht="17.149999999999999" customHeight="1">
      <c r="A67" s="145"/>
      <c r="B67" s="300" t="s">
        <v>300</v>
      </c>
      <c r="C67" s="501" t="s">
        <v>301</v>
      </c>
      <c r="D67" s="502"/>
      <c r="E67" s="502"/>
      <c r="F67" s="97">
        <f t="shared" ref="F67:K67" si="14">F31</f>
        <v>0</v>
      </c>
      <c r="G67" s="97">
        <f t="shared" si="14"/>
        <v>0</v>
      </c>
      <c r="H67" s="97">
        <f t="shared" si="14"/>
        <v>0</v>
      </c>
      <c r="I67" s="97">
        <f t="shared" si="14"/>
        <v>0</v>
      </c>
      <c r="J67" s="97">
        <f t="shared" si="14"/>
        <v>28783</v>
      </c>
      <c r="K67" s="97">
        <f t="shared" si="14"/>
        <v>110819</v>
      </c>
      <c r="L67" s="97">
        <f t="shared" si="11"/>
        <v>139602</v>
      </c>
      <c r="Q67" s="145"/>
      <c r="R67" s="312" t="s">
        <v>300</v>
      </c>
      <c r="S67" t="s">
        <v>301</v>
      </c>
      <c r="U67" t="s">
        <v>301</v>
      </c>
      <c r="V67" s="97">
        <f t="shared" si="7"/>
        <v>0</v>
      </c>
      <c r="W67" s="97">
        <f t="shared" si="3"/>
        <v>0</v>
      </c>
      <c r="X67" s="97">
        <f t="shared" si="4"/>
        <v>0</v>
      </c>
      <c r="Y67" s="97"/>
      <c r="Z67" s="97">
        <f t="shared" si="5"/>
        <v>14391.5</v>
      </c>
      <c r="AA67" s="97"/>
      <c r="AB67" s="97">
        <f t="shared" si="8"/>
        <v>14391.5</v>
      </c>
      <c r="AU67" t="s">
        <v>370</v>
      </c>
      <c r="AV67" t="s">
        <v>372</v>
      </c>
      <c r="AW67" s="75">
        <v>20007.53</v>
      </c>
    </row>
    <row r="68" spans="1:49" ht="16.5" customHeight="1">
      <c r="A68" s="145"/>
      <c r="B68" s="295" t="s">
        <v>20</v>
      </c>
      <c r="C68" s="501" t="s">
        <v>302</v>
      </c>
      <c r="D68" s="502"/>
      <c r="E68" s="502"/>
      <c r="F68" s="97">
        <f t="shared" ref="F68:K68" si="15">F32</f>
        <v>0</v>
      </c>
      <c r="G68" s="97">
        <f t="shared" si="15"/>
        <v>0</v>
      </c>
      <c r="H68" s="97">
        <f t="shared" si="15"/>
        <v>0</v>
      </c>
      <c r="I68" s="97">
        <f t="shared" si="15"/>
        <v>0</v>
      </c>
      <c r="J68" s="97">
        <f t="shared" si="15"/>
        <v>343</v>
      </c>
      <c r="K68" s="97">
        <f t="shared" si="15"/>
        <v>363</v>
      </c>
      <c r="L68" s="97">
        <f t="shared" si="11"/>
        <v>706</v>
      </c>
      <c r="Q68" s="145"/>
      <c r="R68" s="311" t="s">
        <v>20</v>
      </c>
      <c r="S68" t="s">
        <v>302</v>
      </c>
      <c r="U68" t="s">
        <v>302</v>
      </c>
      <c r="V68" s="97">
        <f t="shared" si="7"/>
        <v>0</v>
      </c>
      <c r="W68" s="97">
        <f t="shared" si="3"/>
        <v>0</v>
      </c>
      <c r="X68" s="97">
        <f t="shared" si="4"/>
        <v>0</v>
      </c>
      <c r="Y68" s="97"/>
      <c r="Z68" s="97">
        <f t="shared" si="5"/>
        <v>171.5</v>
      </c>
      <c r="AA68" s="97"/>
      <c r="AB68" s="97">
        <f t="shared" si="8"/>
        <v>171.5</v>
      </c>
      <c r="AU68" s="163" t="s">
        <v>669</v>
      </c>
      <c r="AV68" t="s">
        <v>373</v>
      </c>
      <c r="AW68" s="75">
        <v>78804.9424</v>
      </c>
    </row>
    <row r="69" spans="1:49" ht="17.25" customHeight="1">
      <c r="A69" s="145"/>
      <c r="B69" s="295" t="s">
        <v>19</v>
      </c>
      <c r="C69" s="501" t="s">
        <v>303</v>
      </c>
      <c r="D69" s="502"/>
      <c r="E69" s="502"/>
      <c r="F69" s="97">
        <f t="shared" ref="F69:K69" si="16">F33</f>
        <v>0</v>
      </c>
      <c r="G69" s="97">
        <f t="shared" si="16"/>
        <v>0</v>
      </c>
      <c r="H69" s="97">
        <f t="shared" si="16"/>
        <v>0</v>
      </c>
      <c r="I69" s="97">
        <f t="shared" si="16"/>
        <v>0</v>
      </c>
      <c r="J69" s="97">
        <f t="shared" si="16"/>
        <v>607</v>
      </c>
      <c r="K69" s="97">
        <f t="shared" si="16"/>
        <v>7659</v>
      </c>
      <c r="L69" s="97">
        <f t="shared" si="11"/>
        <v>8266</v>
      </c>
      <c r="Q69" s="145"/>
      <c r="R69" s="311" t="s">
        <v>19</v>
      </c>
      <c r="S69" t="s">
        <v>303</v>
      </c>
      <c r="U69" t="s">
        <v>303</v>
      </c>
      <c r="V69" s="97">
        <f t="shared" si="7"/>
        <v>0</v>
      </c>
      <c r="W69" s="97">
        <f t="shared" si="3"/>
        <v>0</v>
      </c>
      <c r="X69" s="97">
        <f t="shared" si="4"/>
        <v>0</v>
      </c>
      <c r="Y69" s="97"/>
      <c r="Z69" s="97">
        <f t="shared" si="5"/>
        <v>303.5</v>
      </c>
      <c r="AA69" s="97"/>
      <c r="AB69" s="97">
        <f t="shared" si="8"/>
        <v>303.5</v>
      </c>
      <c r="AU69" t="s">
        <v>375</v>
      </c>
      <c r="AV69" t="s">
        <v>78</v>
      </c>
      <c r="AW69" s="75">
        <v>70189.171300000002</v>
      </c>
    </row>
    <row r="70" spans="1:49">
      <c r="A70" s="145"/>
      <c r="B70" s="112"/>
      <c r="C70" s="501" t="s">
        <v>304</v>
      </c>
      <c r="D70" s="502"/>
      <c r="E70" s="502"/>
      <c r="F70" s="97">
        <f t="shared" ref="F70:K70" si="17">F34</f>
        <v>0</v>
      </c>
      <c r="G70" s="97">
        <f t="shared" si="17"/>
        <v>0</v>
      </c>
      <c r="H70" s="97">
        <f t="shared" si="17"/>
        <v>0</v>
      </c>
      <c r="I70" s="97">
        <f t="shared" si="17"/>
        <v>0</v>
      </c>
      <c r="J70" s="97">
        <f t="shared" si="17"/>
        <v>56</v>
      </c>
      <c r="K70" s="97">
        <f t="shared" si="17"/>
        <v>0</v>
      </c>
      <c r="L70" s="97">
        <f t="shared" si="11"/>
        <v>56</v>
      </c>
      <c r="Q70" s="145"/>
      <c r="R70" s="112"/>
      <c r="S70" t="s">
        <v>304</v>
      </c>
      <c r="U70" t="s">
        <v>304</v>
      </c>
      <c r="V70" s="97">
        <f t="shared" si="7"/>
        <v>0</v>
      </c>
      <c r="W70" s="97">
        <f t="shared" si="3"/>
        <v>0</v>
      </c>
      <c r="X70" s="97">
        <f t="shared" si="4"/>
        <v>0</v>
      </c>
      <c r="Y70" s="97"/>
      <c r="Z70" s="97">
        <f t="shared" si="5"/>
        <v>28</v>
      </c>
      <c r="AA70" s="97"/>
      <c r="AB70" s="97">
        <f t="shared" si="8"/>
        <v>28</v>
      </c>
      <c r="AU70" t="s">
        <v>654</v>
      </c>
      <c r="AV70" t="s">
        <v>79</v>
      </c>
      <c r="AW70" s="75">
        <v>51949.691800000001</v>
      </c>
    </row>
    <row r="71" spans="1:49" ht="17.149999999999999" customHeight="1">
      <c r="A71" s="145"/>
      <c r="B71" s="112"/>
      <c r="C71" s="501" t="s">
        <v>305</v>
      </c>
      <c r="D71" s="502"/>
      <c r="E71" s="502"/>
      <c r="F71" s="97">
        <f t="shared" ref="F71:K71" si="18">F35</f>
        <v>0</v>
      </c>
      <c r="G71" s="97">
        <f t="shared" si="18"/>
        <v>0</v>
      </c>
      <c r="H71" s="97">
        <f t="shared" si="18"/>
        <v>0</v>
      </c>
      <c r="I71" s="97">
        <f t="shared" si="18"/>
        <v>0</v>
      </c>
      <c r="J71" s="97">
        <f t="shared" si="18"/>
        <v>173</v>
      </c>
      <c r="K71" s="97">
        <f t="shared" si="18"/>
        <v>2238</v>
      </c>
      <c r="L71" s="97">
        <f t="shared" si="11"/>
        <v>2411</v>
      </c>
      <c r="Q71" s="145"/>
      <c r="R71" s="112"/>
      <c r="S71" t="s">
        <v>305</v>
      </c>
      <c r="U71" t="s">
        <v>676</v>
      </c>
      <c r="V71" s="97">
        <f t="shared" si="7"/>
        <v>0</v>
      </c>
      <c r="W71" s="97">
        <f t="shared" si="3"/>
        <v>0</v>
      </c>
      <c r="X71" s="97">
        <f t="shared" si="4"/>
        <v>0</v>
      </c>
      <c r="Y71" s="97"/>
      <c r="Z71" s="97">
        <f t="shared" si="5"/>
        <v>86.5</v>
      </c>
      <c r="AA71" s="97"/>
      <c r="AB71" s="97">
        <f t="shared" si="8"/>
        <v>86.5</v>
      </c>
      <c r="AU71" t="s">
        <v>659</v>
      </c>
      <c r="AV71" t="s">
        <v>223</v>
      </c>
      <c r="AW71" s="75">
        <v>40441.3442</v>
      </c>
    </row>
    <row r="72" spans="1:49" ht="17.5" customHeight="1" thickBot="1">
      <c r="A72" s="146"/>
      <c r="B72" s="147"/>
      <c r="C72" s="527" t="s">
        <v>47</v>
      </c>
      <c r="D72" s="528"/>
      <c r="E72" s="528"/>
      <c r="F72" s="97">
        <f t="shared" ref="F72:K72" si="19">F36</f>
        <v>0</v>
      </c>
      <c r="G72" s="97">
        <f t="shared" si="19"/>
        <v>0</v>
      </c>
      <c r="H72" s="97">
        <f t="shared" si="19"/>
        <v>0</v>
      </c>
      <c r="I72" s="97">
        <f t="shared" si="19"/>
        <v>0</v>
      </c>
      <c r="J72" s="97">
        <f t="shared" si="19"/>
        <v>14989</v>
      </c>
      <c r="K72" s="97">
        <f t="shared" si="19"/>
        <v>46691</v>
      </c>
      <c r="L72" s="97">
        <f t="shared" si="11"/>
        <v>61681</v>
      </c>
      <c r="Q72" s="146"/>
      <c r="R72" s="147"/>
      <c r="S72" t="s">
        <v>47</v>
      </c>
      <c r="U72" t="s">
        <v>47</v>
      </c>
      <c r="V72" s="97">
        <f t="shared" si="7"/>
        <v>0</v>
      </c>
      <c r="W72" s="97">
        <f t="shared" si="3"/>
        <v>0</v>
      </c>
      <c r="X72" s="97">
        <f t="shared" si="4"/>
        <v>0</v>
      </c>
      <c r="Y72" s="97"/>
      <c r="Z72" s="97">
        <f t="shared" si="5"/>
        <v>7494.5</v>
      </c>
      <c r="AA72" s="97"/>
      <c r="AB72" s="97">
        <f t="shared" si="8"/>
        <v>7494.5</v>
      </c>
      <c r="AU72" s="163" t="s">
        <v>673</v>
      </c>
      <c r="AV72" t="s">
        <v>85</v>
      </c>
      <c r="AW72" s="75">
        <v>53247.161800000002</v>
      </c>
    </row>
    <row r="73" spans="1:49">
      <c r="L73" s="97">
        <f>SUM(L61:L72)</f>
        <v>304600</v>
      </c>
      <c r="U73" t="s">
        <v>678</v>
      </c>
      <c r="V73" s="97">
        <f t="shared" ref="V73:X73" si="20">SUM(V61:V72)</f>
        <v>10129.5</v>
      </c>
      <c r="W73" s="97">
        <f t="shared" si="20"/>
        <v>3025.5</v>
      </c>
      <c r="X73" s="97">
        <f t="shared" si="20"/>
        <v>11569</v>
      </c>
      <c r="Z73" s="97">
        <f>SUM(Z61:Z72)</f>
        <v>23295</v>
      </c>
      <c r="AB73" s="97">
        <f t="shared" si="8"/>
        <v>48019</v>
      </c>
      <c r="AU73" t="s">
        <v>655</v>
      </c>
      <c r="AV73" t="s">
        <v>113</v>
      </c>
      <c r="AW73" s="75">
        <v>8507.8255000000008</v>
      </c>
    </row>
    <row r="74" spans="1:49" ht="23">
      <c r="A74" s="154" t="s">
        <v>331</v>
      </c>
      <c r="AU74" t="s">
        <v>646</v>
      </c>
      <c r="AV74" t="s">
        <v>660</v>
      </c>
      <c r="AW74" s="75">
        <v>5790.3404</v>
      </c>
    </row>
    <row r="75" spans="1:49">
      <c r="A75" s="32" t="s">
        <v>308</v>
      </c>
      <c r="AU75" t="s">
        <v>136</v>
      </c>
      <c r="AV75" t="s">
        <v>382</v>
      </c>
      <c r="AW75" s="75">
        <v>1771.3566000000001</v>
      </c>
    </row>
    <row r="76" spans="1:49" ht="17.5" thickBot="1">
      <c r="AU76" t="s">
        <v>655</v>
      </c>
      <c r="AV76" t="s">
        <v>383</v>
      </c>
      <c r="AW76" s="75">
        <v>6231.1390000000001</v>
      </c>
    </row>
    <row r="77" spans="1:49" ht="17.5" thickTop="1">
      <c r="A77" s="521" t="s">
        <v>175</v>
      </c>
      <c r="B77" s="522"/>
      <c r="C77" s="522"/>
      <c r="D77" s="522"/>
      <c r="E77" s="523"/>
      <c r="F77" s="486" t="s">
        <v>165</v>
      </c>
      <c r="G77" s="487"/>
      <c r="H77" s="488"/>
      <c r="I77" s="105" t="s">
        <v>284</v>
      </c>
      <c r="J77" s="105" t="s">
        <v>286</v>
      </c>
      <c r="K77" s="105" t="s">
        <v>287</v>
      </c>
      <c r="L77" s="489" t="s">
        <v>21</v>
      </c>
      <c r="Q77" s="521" t="s">
        <v>175</v>
      </c>
      <c r="R77" s="522"/>
      <c r="S77" s="522"/>
      <c r="T77" s="522"/>
      <c r="U77" s="523"/>
      <c r="V77" s="486" t="s">
        <v>165</v>
      </c>
      <c r="W77" s="487"/>
      <c r="X77" s="488"/>
      <c r="Y77" s="105" t="s">
        <v>284</v>
      </c>
      <c r="Z77" s="105" t="s">
        <v>286</v>
      </c>
      <c r="AA77" s="105" t="s">
        <v>287</v>
      </c>
      <c r="AB77" s="489" t="s">
        <v>21</v>
      </c>
      <c r="AU77" t="s">
        <v>647</v>
      </c>
      <c r="AV77" t="s">
        <v>661</v>
      </c>
      <c r="AW77" s="75">
        <v>11058.6175</v>
      </c>
    </row>
    <row r="78" spans="1:49" ht="17.5" thickBot="1">
      <c r="A78" s="524"/>
      <c r="B78" s="484"/>
      <c r="C78" s="484"/>
      <c r="D78" s="484"/>
      <c r="E78" s="485"/>
      <c r="F78" s="107" t="s">
        <v>44</v>
      </c>
      <c r="G78" s="107" t="s">
        <v>45</v>
      </c>
      <c r="H78" s="107" t="s">
        <v>46</v>
      </c>
      <c r="I78" s="106" t="s">
        <v>285</v>
      </c>
      <c r="J78" s="106" t="s">
        <v>285</v>
      </c>
      <c r="K78" s="106" t="s">
        <v>285</v>
      </c>
      <c r="L78" s="490"/>
      <c r="Q78" s="524"/>
      <c r="R78" s="484"/>
      <c r="S78" s="484"/>
      <c r="T78" s="484"/>
      <c r="U78" s="485"/>
      <c r="V78" s="107" t="s">
        <v>44</v>
      </c>
      <c r="W78" s="107" t="s">
        <v>45</v>
      </c>
      <c r="X78" s="107" t="s">
        <v>46</v>
      </c>
      <c r="Y78" s="106" t="s">
        <v>285</v>
      </c>
      <c r="Z78" s="106" t="s">
        <v>285</v>
      </c>
      <c r="AA78" s="106" t="s">
        <v>285</v>
      </c>
      <c r="AB78" s="490"/>
      <c r="AU78" t="s">
        <v>648</v>
      </c>
      <c r="AV78" t="s">
        <v>103</v>
      </c>
      <c r="AW78" s="75">
        <v>11210.3078</v>
      </c>
    </row>
    <row r="79" spans="1:49" ht="17.5" thickTop="1">
      <c r="A79" s="145">
        <v>2027</v>
      </c>
      <c r="B79" s="300" t="s">
        <v>289</v>
      </c>
      <c r="C79" s="300"/>
      <c r="D79" s="501" t="s">
        <v>135</v>
      </c>
      <c r="E79" s="502"/>
      <c r="F79" s="97">
        <f t="shared" ref="F79:K79" si="21">F40</f>
        <v>437</v>
      </c>
      <c r="G79" s="97">
        <f t="shared" si="21"/>
        <v>130</v>
      </c>
      <c r="H79" s="97">
        <f t="shared" si="21"/>
        <v>499</v>
      </c>
      <c r="I79" s="97">
        <f t="shared" si="21"/>
        <v>440</v>
      </c>
      <c r="J79" s="97">
        <f t="shared" si="21"/>
        <v>0</v>
      </c>
      <c r="K79" s="97">
        <f t="shared" si="21"/>
        <v>0</v>
      </c>
      <c r="L79" s="97">
        <f>L40</f>
        <v>1506</v>
      </c>
      <c r="Q79" s="145">
        <v>2027</v>
      </c>
      <c r="R79" s="312" t="s">
        <v>289</v>
      </c>
      <c r="S79" s="312"/>
      <c r="T79" s="316" t="s">
        <v>135</v>
      </c>
      <c r="U79" s="317" t="s">
        <v>12</v>
      </c>
      <c r="V79" s="97">
        <f>F79/2</f>
        <v>218.5</v>
      </c>
      <c r="W79" s="97">
        <f t="shared" ref="W79:W90" si="22">G79/2</f>
        <v>65</v>
      </c>
      <c r="X79" s="97">
        <f t="shared" ref="X79:X90" si="23">H79/2</f>
        <v>249.5</v>
      </c>
      <c r="Y79" s="97">
        <f t="shared" ref="Y79:Y90" si="24">I79/2</f>
        <v>220</v>
      </c>
      <c r="Z79" s="97">
        <f t="shared" ref="Z79:Z90" si="25">J79/2</f>
        <v>0</v>
      </c>
      <c r="AA79" s="97">
        <f t="shared" ref="AA79:AA90" si="26">K79/2</f>
        <v>0</v>
      </c>
      <c r="AB79" s="97">
        <f>SUM(V79:X79)+Z79</f>
        <v>533</v>
      </c>
      <c r="AU79" t="s">
        <v>648</v>
      </c>
      <c r="AV79" t="s">
        <v>104</v>
      </c>
      <c r="AW79" s="75">
        <v>10719.050499999999</v>
      </c>
    </row>
    <row r="80" spans="1:49" ht="32">
      <c r="A80" s="145"/>
      <c r="B80" s="295" t="s">
        <v>290</v>
      </c>
      <c r="C80" s="112"/>
      <c r="D80" s="505" t="s">
        <v>322</v>
      </c>
      <c r="E80" s="41" t="s">
        <v>296</v>
      </c>
      <c r="F80" s="97">
        <f t="shared" ref="F80:K80" si="27">F43</f>
        <v>9511</v>
      </c>
      <c r="G80" s="97">
        <f t="shared" si="27"/>
        <v>2841</v>
      </c>
      <c r="H80" s="97">
        <f t="shared" si="27"/>
        <v>10863</v>
      </c>
      <c r="I80" s="97">
        <f t="shared" si="27"/>
        <v>11872</v>
      </c>
      <c r="J80" s="97">
        <f t="shared" si="27"/>
        <v>0</v>
      </c>
      <c r="K80" s="97">
        <f t="shared" si="27"/>
        <v>0</v>
      </c>
      <c r="L80" s="97">
        <f>L43</f>
        <v>35088</v>
      </c>
      <c r="Q80" s="145"/>
      <c r="R80" s="311" t="s">
        <v>290</v>
      </c>
      <c r="S80" s="112"/>
      <c r="T80" s="318" t="s">
        <v>322</v>
      </c>
      <c r="U80" s="41" t="s">
        <v>668</v>
      </c>
      <c r="V80" s="97">
        <f t="shared" ref="V80:V90" si="28">F80/2</f>
        <v>4755.5</v>
      </c>
      <c r="W80" s="97">
        <f t="shared" si="22"/>
        <v>1420.5</v>
      </c>
      <c r="X80" s="97">
        <f t="shared" si="23"/>
        <v>5431.5</v>
      </c>
      <c r="Y80" s="97">
        <f t="shared" si="24"/>
        <v>5936</v>
      </c>
      <c r="Z80" s="97">
        <f t="shared" si="25"/>
        <v>0</v>
      </c>
      <c r="AA80" s="97">
        <f t="shared" si="26"/>
        <v>0</v>
      </c>
      <c r="AB80" s="97">
        <f t="shared" ref="AB80:AB91" si="29">SUM(V80:X80)+Z80</f>
        <v>11607.5</v>
      </c>
      <c r="AU80" t="s">
        <v>648</v>
      </c>
      <c r="AV80" t="s">
        <v>117</v>
      </c>
      <c r="AW80" s="75">
        <v>25550.6122</v>
      </c>
    </row>
    <row r="81" spans="1:158" ht="32">
      <c r="A81" s="145"/>
      <c r="B81" s="295" t="s">
        <v>19</v>
      </c>
      <c r="C81" s="112"/>
      <c r="D81" s="506"/>
      <c r="E81" s="41" t="s">
        <v>297</v>
      </c>
      <c r="F81" s="97">
        <f t="shared" ref="F81:K81" si="30">F44</f>
        <v>7149</v>
      </c>
      <c r="G81" s="97">
        <f t="shared" si="30"/>
        <v>2136</v>
      </c>
      <c r="H81" s="97">
        <f t="shared" si="30"/>
        <v>8165</v>
      </c>
      <c r="I81" s="97">
        <f t="shared" si="30"/>
        <v>7204</v>
      </c>
      <c r="J81" s="97">
        <f t="shared" si="30"/>
        <v>0</v>
      </c>
      <c r="K81" s="97">
        <f t="shared" si="30"/>
        <v>0</v>
      </c>
      <c r="L81" s="97">
        <f>L44</f>
        <v>24653</v>
      </c>
      <c r="Q81" s="145"/>
      <c r="R81" s="311" t="s">
        <v>19</v>
      </c>
      <c r="S81" s="112"/>
      <c r="T81" s="319"/>
      <c r="U81" s="41" t="s">
        <v>670</v>
      </c>
      <c r="V81" s="97">
        <f t="shared" si="28"/>
        <v>3574.5</v>
      </c>
      <c r="W81" s="97">
        <f t="shared" si="22"/>
        <v>1068</v>
      </c>
      <c r="X81" s="97">
        <f t="shared" si="23"/>
        <v>4082.5</v>
      </c>
      <c r="Y81" s="97">
        <f t="shared" si="24"/>
        <v>3602</v>
      </c>
      <c r="Z81" s="97">
        <f t="shared" si="25"/>
        <v>0</v>
      </c>
      <c r="AA81" s="97">
        <f t="shared" si="26"/>
        <v>0</v>
      </c>
      <c r="AB81" s="97">
        <f t="shared" si="29"/>
        <v>8725</v>
      </c>
      <c r="AU81" t="s">
        <v>648</v>
      </c>
      <c r="AV81" t="s">
        <v>118</v>
      </c>
      <c r="AW81" s="75">
        <v>13315.3163</v>
      </c>
    </row>
    <row r="82" spans="1:158" ht="32">
      <c r="A82" s="145"/>
      <c r="B82" s="112"/>
      <c r="C82" s="112"/>
      <c r="D82" s="295" t="s">
        <v>197</v>
      </c>
      <c r="E82" s="41" t="s">
        <v>297</v>
      </c>
      <c r="F82" s="97">
        <f t="shared" ref="F82:K82" si="31">F46</f>
        <v>1150</v>
      </c>
      <c r="G82" s="97">
        <f t="shared" si="31"/>
        <v>343</v>
      </c>
      <c r="H82" s="97">
        <f t="shared" si="31"/>
        <v>1313</v>
      </c>
      <c r="I82" s="97">
        <f t="shared" si="31"/>
        <v>1159</v>
      </c>
      <c r="J82" s="97">
        <f t="shared" si="31"/>
        <v>0</v>
      </c>
      <c r="K82" s="97">
        <f t="shared" si="31"/>
        <v>0</v>
      </c>
      <c r="L82" s="97">
        <f t="shared" ref="L82:L90" si="32">L46</f>
        <v>3965</v>
      </c>
      <c r="Q82" s="145"/>
      <c r="R82" s="112"/>
      <c r="S82" s="112"/>
      <c r="T82" s="311" t="s">
        <v>197</v>
      </c>
      <c r="U82" s="41" t="s">
        <v>672</v>
      </c>
      <c r="V82" s="97">
        <f t="shared" si="28"/>
        <v>575</v>
      </c>
      <c r="W82" s="97">
        <f t="shared" si="22"/>
        <v>171.5</v>
      </c>
      <c r="X82" s="97">
        <f t="shared" si="23"/>
        <v>656.5</v>
      </c>
      <c r="Y82" s="97">
        <f t="shared" si="24"/>
        <v>579.5</v>
      </c>
      <c r="Z82" s="97">
        <f t="shared" si="25"/>
        <v>0</v>
      </c>
      <c r="AA82" s="97">
        <f t="shared" si="26"/>
        <v>0</v>
      </c>
      <c r="AB82" s="97">
        <f t="shared" si="29"/>
        <v>1403</v>
      </c>
      <c r="AU82" t="s">
        <v>656</v>
      </c>
      <c r="AV82" t="s">
        <v>105</v>
      </c>
      <c r="AW82" s="75">
        <v>15739.680700000001</v>
      </c>
    </row>
    <row r="83" spans="1:158" ht="16.5" customHeight="1">
      <c r="A83" s="145"/>
      <c r="B83" s="112"/>
      <c r="C83" s="113"/>
      <c r="D83" s="113"/>
      <c r="E83" s="41" t="s">
        <v>299</v>
      </c>
      <c r="F83" s="97">
        <f t="shared" ref="F83:K83" si="33">F47</f>
        <v>2012</v>
      </c>
      <c r="G83" s="97">
        <f t="shared" si="33"/>
        <v>601</v>
      </c>
      <c r="H83" s="97">
        <f t="shared" si="33"/>
        <v>2298</v>
      </c>
      <c r="I83" s="97">
        <f t="shared" si="33"/>
        <v>2028</v>
      </c>
      <c r="J83" s="97">
        <f t="shared" si="33"/>
        <v>0</v>
      </c>
      <c r="K83" s="97">
        <f t="shared" si="33"/>
        <v>0</v>
      </c>
      <c r="L83" s="97">
        <f t="shared" si="32"/>
        <v>6939</v>
      </c>
      <c r="Q83" s="145"/>
      <c r="R83" s="112"/>
      <c r="S83" s="113"/>
      <c r="T83" s="113"/>
      <c r="U83" s="41" t="s">
        <v>674</v>
      </c>
      <c r="V83" s="97">
        <f t="shared" si="28"/>
        <v>1006</v>
      </c>
      <c r="W83" s="97">
        <f t="shared" si="22"/>
        <v>300.5</v>
      </c>
      <c r="X83" s="97">
        <f t="shared" si="23"/>
        <v>1149</v>
      </c>
      <c r="Y83" s="97">
        <f t="shared" si="24"/>
        <v>1014</v>
      </c>
      <c r="Z83" s="97">
        <f t="shared" si="25"/>
        <v>0</v>
      </c>
      <c r="AA83" s="97">
        <f t="shared" si="26"/>
        <v>0</v>
      </c>
      <c r="AB83" s="97">
        <f t="shared" si="29"/>
        <v>2455.5</v>
      </c>
      <c r="AU83" t="s">
        <v>656</v>
      </c>
      <c r="AV83" t="s">
        <v>649</v>
      </c>
      <c r="AW83" s="75">
        <v>34908.721899999997</v>
      </c>
    </row>
    <row r="84" spans="1:158" ht="16.5" customHeight="1">
      <c r="A84" s="145"/>
      <c r="B84" s="113"/>
      <c r="C84" s="501" t="s">
        <v>13</v>
      </c>
      <c r="D84" s="502"/>
      <c r="E84" s="502"/>
      <c r="F84" s="97">
        <f t="shared" ref="F84:K84" si="34">F48</f>
        <v>0</v>
      </c>
      <c r="G84" s="97">
        <f t="shared" si="34"/>
        <v>0</v>
      </c>
      <c r="H84" s="97">
        <f t="shared" si="34"/>
        <v>0</v>
      </c>
      <c r="I84" s="97">
        <f t="shared" si="34"/>
        <v>0</v>
      </c>
      <c r="J84" s="97">
        <f t="shared" si="34"/>
        <v>1639</v>
      </c>
      <c r="K84" s="97">
        <f t="shared" si="34"/>
        <v>17330</v>
      </c>
      <c r="L84" s="97">
        <f t="shared" si="32"/>
        <v>18969</v>
      </c>
      <c r="Q84" s="145"/>
      <c r="R84" s="113"/>
      <c r="S84" s="316" t="s">
        <v>13</v>
      </c>
      <c r="T84" s="317"/>
      <c r="U84" s="317" t="s">
        <v>13</v>
      </c>
      <c r="V84" s="97">
        <f t="shared" si="28"/>
        <v>0</v>
      </c>
      <c r="W84" s="97">
        <f t="shared" si="22"/>
        <v>0</v>
      </c>
      <c r="X84" s="97">
        <f t="shared" si="23"/>
        <v>0</v>
      </c>
      <c r="Y84" s="97">
        <f t="shared" si="24"/>
        <v>0</v>
      </c>
      <c r="Z84" s="97">
        <f t="shared" si="25"/>
        <v>819.5</v>
      </c>
      <c r="AA84" s="97">
        <f t="shared" si="26"/>
        <v>8665</v>
      </c>
      <c r="AB84" s="97">
        <f t="shared" si="29"/>
        <v>819.5</v>
      </c>
      <c r="AU84" t="s">
        <v>662</v>
      </c>
      <c r="AV84" t="s">
        <v>125</v>
      </c>
      <c r="AW84" s="75">
        <v>4662.5794999999998</v>
      </c>
    </row>
    <row r="85" spans="1:158" ht="17.149999999999999" customHeight="1">
      <c r="A85" s="145"/>
      <c r="B85" s="300" t="s">
        <v>300</v>
      </c>
      <c r="C85" s="501" t="s">
        <v>301</v>
      </c>
      <c r="D85" s="502"/>
      <c r="E85" s="502"/>
      <c r="F85" s="97">
        <f t="shared" ref="F85:K85" si="35">F49</f>
        <v>0</v>
      </c>
      <c r="G85" s="97">
        <f t="shared" si="35"/>
        <v>0</v>
      </c>
      <c r="H85" s="97">
        <f t="shared" si="35"/>
        <v>0</v>
      </c>
      <c r="I85" s="97">
        <f t="shared" si="35"/>
        <v>0</v>
      </c>
      <c r="J85" s="97">
        <f t="shared" si="35"/>
        <v>28783</v>
      </c>
      <c r="K85" s="97">
        <f t="shared" si="35"/>
        <v>108761</v>
      </c>
      <c r="L85" s="97">
        <f t="shared" si="32"/>
        <v>137544</v>
      </c>
      <c r="Q85" s="145"/>
      <c r="R85" s="312" t="s">
        <v>300</v>
      </c>
      <c r="S85" s="316" t="s">
        <v>301</v>
      </c>
      <c r="T85" s="317"/>
      <c r="U85" s="317" t="s">
        <v>301</v>
      </c>
      <c r="V85" s="97">
        <f t="shared" si="28"/>
        <v>0</v>
      </c>
      <c r="W85" s="97">
        <f t="shared" si="22"/>
        <v>0</v>
      </c>
      <c r="X85" s="97">
        <f t="shared" si="23"/>
        <v>0</v>
      </c>
      <c r="Y85" s="97">
        <f t="shared" si="24"/>
        <v>0</v>
      </c>
      <c r="Z85" s="97">
        <f t="shared" si="25"/>
        <v>14391.5</v>
      </c>
      <c r="AA85" s="97">
        <f t="shared" si="26"/>
        <v>54380.5</v>
      </c>
      <c r="AB85" s="97">
        <f t="shared" si="29"/>
        <v>14391.5</v>
      </c>
      <c r="AU85" t="s">
        <v>650</v>
      </c>
      <c r="AV85" t="s">
        <v>651</v>
      </c>
      <c r="AW85" s="75">
        <v>1500.06</v>
      </c>
    </row>
    <row r="86" spans="1:158">
      <c r="A86" s="145"/>
      <c r="B86" s="295" t="s">
        <v>20</v>
      </c>
      <c r="C86" s="501" t="s">
        <v>302</v>
      </c>
      <c r="D86" s="502"/>
      <c r="E86" s="502"/>
      <c r="F86" s="97">
        <f t="shared" ref="F86:K86" si="36">F50</f>
        <v>0</v>
      </c>
      <c r="G86" s="97">
        <f t="shared" si="36"/>
        <v>0</v>
      </c>
      <c r="H86" s="97">
        <f t="shared" si="36"/>
        <v>0</v>
      </c>
      <c r="I86" s="97">
        <f t="shared" si="36"/>
        <v>0</v>
      </c>
      <c r="J86" s="97">
        <f t="shared" si="36"/>
        <v>343</v>
      </c>
      <c r="K86" s="97">
        <f t="shared" si="36"/>
        <v>357</v>
      </c>
      <c r="L86" s="97">
        <f t="shared" si="32"/>
        <v>699</v>
      </c>
      <c r="Q86" s="145"/>
      <c r="R86" s="311" t="s">
        <v>20</v>
      </c>
      <c r="S86" s="316" t="s">
        <v>302</v>
      </c>
      <c r="T86" s="317"/>
      <c r="U86" s="317" t="s">
        <v>302</v>
      </c>
      <c r="V86" s="97">
        <f t="shared" si="28"/>
        <v>0</v>
      </c>
      <c r="W86" s="97">
        <f t="shared" si="22"/>
        <v>0</v>
      </c>
      <c r="X86" s="97">
        <f t="shared" si="23"/>
        <v>0</v>
      </c>
      <c r="Y86" s="97">
        <f t="shared" si="24"/>
        <v>0</v>
      </c>
      <c r="Z86" s="97">
        <f t="shared" si="25"/>
        <v>171.5</v>
      </c>
      <c r="AA86" s="97">
        <f t="shared" si="26"/>
        <v>178.5</v>
      </c>
      <c r="AB86" s="97">
        <f t="shared" si="29"/>
        <v>171.5</v>
      </c>
      <c r="AU86" t="s">
        <v>650</v>
      </c>
      <c r="AV86" t="s">
        <v>393</v>
      </c>
      <c r="AW86" s="75">
        <v>1939.5264</v>
      </c>
    </row>
    <row r="87" spans="1:158">
      <c r="A87" s="145"/>
      <c r="B87" s="295" t="s">
        <v>19</v>
      </c>
      <c r="C87" s="501" t="s">
        <v>303</v>
      </c>
      <c r="D87" s="502"/>
      <c r="E87" s="502"/>
      <c r="F87" s="97">
        <f t="shared" ref="F87:K87" si="37">F51</f>
        <v>0</v>
      </c>
      <c r="G87" s="97">
        <f t="shared" si="37"/>
        <v>0</v>
      </c>
      <c r="H87" s="97">
        <f t="shared" si="37"/>
        <v>0</v>
      </c>
      <c r="I87" s="97">
        <f t="shared" si="37"/>
        <v>0</v>
      </c>
      <c r="J87" s="97">
        <f t="shared" si="37"/>
        <v>607</v>
      </c>
      <c r="K87" s="97">
        <f t="shared" si="37"/>
        <v>7517</v>
      </c>
      <c r="L87" s="97">
        <f t="shared" si="32"/>
        <v>8124</v>
      </c>
      <c r="Q87" s="145"/>
      <c r="R87" s="311" t="s">
        <v>19</v>
      </c>
      <c r="S87" s="316" t="s">
        <v>303</v>
      </c>
      <c r="T87" s="317"/>
      <c r="U87" s="317" t="s">
        <v>303</v>
      </c>
      <c r="V87" s="97">
        <f t="shared" si="28"/>
        <v>0</v>
      </c>
      <c r="W87" s="97">
        <f t="shared" si="22"/>
        <v>0</v>
      </c>
      <c r="X87" s="97">
        <f t="shared" si="23"/>
        <v>0</v>
      </c>
      <c r="Y87" s="97">
        <f t="shared" si="24"/>
        <v>0</v>
      </c>
      <c r="Z87" s="97">
        <f t="shared" si="25"/>
        <v>303.5</v>
      </c>
      <c r="AA87" s="97">
        <f t="shared" si="26"/>
        <v>3758.5</v>
      </c>
      <c r="AB87" s="97">
        <f t="shared" si="29"/>
        <v>303.5</v>
      </c>
      <c r="AU87" t="s">
        <v>663</v>
      </c>
      <c r="AV87" t="s">
        <v>395</v>
      </c>
      <c r="AW87" s="75">
        <v>2026.3647000000001</v>
      </c>
    </row>
    <row r="88" spans="1:158" ht="16.5" customHeight="1">
      <c r="A88" s="145"/>
      <c r="B88" s="112"/>
      <c r="C88" s="501" t="s">
        <v>304</v>
      </c>
      <c r="D88" s="502"/>
      <c r="E88" s="502"/>
      <c r="F88" s="97">
        <f t="shared" ref="F88:K88" si="38">F52</f>
        <v>0</v>
      </c>
      <c r="G88" s="97">
        <f t="shared" si="38"/>
        <v>0</v>
      </c>
      <c r="H88" s="97">
        <f t="shared" si="38"/>
        <v>0</v>
      </c>
      <c r="I88" s="97">
        <f t="shared" si="38"/>
        <v>0</v>
      </c>
      <c r="J88" s="97">
        <f t="shared" si="38"/>
        <v>56</v>
      </c>
      <c r="K88" s="97">
        <f t="shared" si="38"/>
        <v>0</v>
      </c>
      <c r="L88" s="97">
        <f t="shared" si="32"/>
        <v>56</v>
      </c>
      <c r="Q88" s="145"/>
      <c r="R88" s="112"/>
      <c r="S88" s="316" t="s">
        <v>304</v>
      </c>
      <c r="T88" s="317"/>
      <c r="U88" s="317" t="s">
        <v>304</v>
      </c>
      <c r="V88" s="97">
        <f t="shared" si="28"/>
        <v>0</v>
      </c>
      <c r="W88" s="97">
        <f t="shared" si="22"/>
        <v>0</v>
      </c>
      <c r="X88" s="97">
        <f t="shared" si="23"/>
        <v>0</v>
      </c>
      <c r="Y88" s="97">
        <f t="shared" si="24"/>
        <v>0</v>
      </c>
      <c r="Z88" s="97">
        <f t="shared" si="25"/>
        <v>28</v>
      </c>
      <c r="AA88" s="97">
        <f t="shared" si="26"/>
        <v>0</v>
      </c>
      <c r="AB88" s="97">
        <f t="shared" si="29"/>
        <v>28</v>
      </c>
      <c r="AU88" t="s">
        <v>208</v>
      </c>
      <c r="AV88" t="s">
        <v>652</v>
      </c>
      <c r="AW88" s="75">
        <v>41993.0622</v>
      </c>
    </row>
    <row r="89" spans="1:158" ht="17.25" customHeight="1">
      <c r="A89" s="145"/>
      <c r="B89" s="112"/>
      <c r="C89" s="501" t="s">
        <v>305</v>
      </c>
      <c r="D89" s="502"/>
      <c r="E89" s="502"/>
      <c r="F89" s="97">
        <f t="shared" ref="F89:K89" si="39">F53</f>
        <v>0</v>
      </c>
      <c r="G89" s="97">
        <f t="shared" si="39"/>
        <v>0</v>
      </c>
      <c r="H89" s="97">
        <f t="shared" si="39"/>
        <v>0</v>
      </c>
      <c r="I89" s="97">
        <f t="shared" si="39"/>
        <v>0</v>
      </c>
      <c r="J89" s="97">
        <f t="shared" si="39"/>
        <v>173</v>
      </c>
      <c r="K89" s="97">
        <f t="shared" si="39"/>
        <v>2196</v>
      </c>
      <c r="L89" s="97">
        <f t="shared" si="32"/>
        <v>2369</v>
      </c>
      <c r="Q89" s="145"/>
      <c r="R89" s="112"/>
      <c r="S89" s="316" t="s">
        <v>305</v>
      </c>
      <c r="T89" s="317"/>
      <c r="U89" s="317" t="s">
        <v>305</v>
      </c>
      <c r="V89" s="97">
        <f t="shared" si="28"/>
        <v>0</v>
      </c>
      <c r="W89" s="97">
        <f t="shared" si="22"/>
        <v>0</v>
      </c>
      <c r="X89" s="97">
        <f t="shared" si="23"/>
        <v>0</v>
      </c>
      <c r="Y89" s="97">
        <f t="shared" si="24"/>
        <v>0</v>
      </c>
      <c r="Z89" s="97">
        <f t="shared" si="25"/>
        <v>86.5</v>
      </c>
      <c r="AA89" s="97">
        <f t="shared" si="26"/>
        <v>1098</v>
      </c>
      <c r="AB89" s="97">
        <f t="shared" si="29"/>
        <v>86.5</v>
      </c>
      <c r="AU89" t="s">
        <v>653</v>
      </c>
      <c r="AV89" t="s">
        <v>398</v>
      </c>
      <c r="AW89" s="75">
        <v>63842.682699999998</v>
      </c>
    </row>
    <row r="90" spans="1:158" ht="17.5" customHeight="1" thickBot="1">
      <c r="A90" s="146"/>
      <c r="B90" s="147"/>
      <c r="C90" s="527" t="s">
        <v>47</v>
      </c>
      <c r="D90" s="528"/>
      <c r="E90" s="528"/>
      <c r="F90" s="97">
        <f t="shared" ref="F90:K90" si="40">F54</f>
        <v>0</v>
      </c>
      <c r="G90" s="97">
        <f t="shared" si="40"/>
        <v>0</v>
      </c>
      <c r="H90" s="97">
        <f t="shared" si="40"/>
        <v>0</v>
      </c>
      <c r="I90" s="97">
        <f t="shared" si="40"/>
        <v>0</v>
      </c>
      <c r="J90" s="97">
        <f t="shared" si="40"/>
        <v>14989</v>
      </c>
      <c r="K90" s="97">
        <f t="shared" si="40"/>
        <v>45824</v>
      </c>
      <c r="L90" s="97">
        <f t="shared" si="32"/>
        <v>60814</v>
      </c>
      <c r="Q90" s="146"/>
      <c r="R90" s="147"/>
      <c r="S90" s="320" t="s">
        <v>47</v>
      </c>
      <c r="T90" s="321"/>
      <c r="U90" s="321" t="s">
        <v>47</v>
      </c>
      <c r="V90" s="97">
        <f t="shared" si="28"/>
        <v>0</v>
      </c>
      <c r="W90" s="97">
        <f t="shared" si="22"/>
        <v>0</v>
      </c>
      <c r="X90" s="97">
        <f t="shared" si="23"/>
        <v>0</v>
      </c>
      <c r="Y90" s="97">
        <f t="shared" si="24"/>
        <v>0</v>
      </c>
      <c r="Z90" s="97">
        <f t="shared" si="25"/>
        <v>7494.5</v>
      </c>
      <c r="AA90" s="97">
        <f t="shared" si="26"/>
        <v>22912</v>
      </c>
      <c r="AB90" s="97">
        <f t="shared" si="29"/>
        <v>7494.5</v>
      </c>
    </row>
    <row r="91" spans="1:158">
      <c r="L91" s="97">
        <f>SUM(L79:L90)</f>
        <v>300726</v>
      </c>
      <c r="U91" t="s">
        <v>678</v>
      </c>
      <c r="V91" s="97">
        <f>SUM(V79:V90)</f>
        <v>10129.5</v>
      </c>
      <c r="W91">
        <f t="shared" ref="W91" si="41">SUM(W79:W90)</f>
        <v>3025.5</v>
      </c>
      <c r="X91">
        <f t="shared" ref="X91" si="42">SUM(X79:X90)</f>
        <v>11569</v>
      </c>
      <c r="Y91">
        <f t="shared" ref="Y91" si="43">SUM(Y79:Y90)</f>
        <v>11351.5</v>
      </c>
      <c r="Z91">
        <f t="shared" ref="Z91" si="44">SUM(Z79:Z90)</f>
        <v>23295</v>
      </c>
      <c r="AA91">
        <f t="shared" ref="AA91" si="45">SUM(AA79:AA90)</f>
        <v>90992.5</v>
      </c>
      <c r="AB91" s="97">
        <f t="shared" si="29"/>
        <v>48019</v>
      </c>
    </row>
    <row r="92" spans="1:158">
      <c r="X92" s="97"/>
    </row>
    <row r="93" spans="1:158">
      <c r="FB93" s="32" t="s">
        <v>864</v>
      </c>
    </row>
    <row r="94" spans="1:158">
      <c r="FA94" s="279"/>
      <c r="FB94" s="279" t="s">
        <v>602</v>
      </c>
    </row>
    <row r="95" spans="1:158">
      <c r="L95" s="403"/>
      <c r="M95" s="32" t="s">
        <v>852</v>
      </c>
      <c r="FA95" s="279" t="s">
        <v>603</v>
      </c>
      <c r="FB95" s="293">
        <v>1</v>
      </c>
    </row>
    <row r="99" spans="1:174" s="227" customFormat="1" ht="19.5">
      <c r="A99" s="329">
        <v>2025</v>
      </c>
      <c r="B99" s="282"/>
      <c r="C99" s="283"/>
      <c r="D99" s="284"/>
      <c r="E99" s="284"/>
      <c r="F99" s="284"/>
      <c r="G99" s="284"/>
      <c r="H99" s="284"/>
      <c r="I99" s="284"/>
      <c r="K99" s="282"/>
      <c r="L99" s="282"/>
      <c r="M99" s="283"/>
      <c r="N99" s="284"/>
      <c r="O99" s="284"/>
      <c r="P99" s="284"/>
      <c r="Q99" s="284"/>
      <c r="R99" s="284"/>
      <c r="S99" s="284"/>
    </row>
    <row r="100" spans="1:174" ht="23.5" thickBot="1">
      <c r="A100" s="32" t="s">
        <v>469</v>
      </c>
      <c r="C100" t="s">
        <v>464</v>
      </c>
      <c r="D100" t="s">
        <v>468</v>
      </c>
      <c r="E100" t="s">
        <v>471</v>
      </c>
      <c r="F100" t="s">
        <v>466</v>
      </c>
      <c r="G100" t="s">
        <v>467</v>
      </c>
      <c r="H100" t="s">
        <v>21</v>
      </c>
      <c r="K100" s="32" t="s">
        <v>472</v>
      </c>
      <c r="CV100" s="32" t="s">
        <v>493</v>
      </c>
      <c r="CY100" t="s">
        <v>479</v>
      </c>
      <c r="CZ100" t="s">
        <v>480</v>
      </c>
      <c r="ET100" s="353" t="s">
        <v>862</v>
      </c>
      <c r="FD100" s="353" t="s">
        <v>746</v>
      </c>
      <c r="FL100" s="353"/>
    </row>
    <row r="101" spans="1:174">
      <c r="A101" t="s">
        <v>463</v>
      </c>
      <c r="C101" t="s">
        <v>427</v>
      </c>
      <c r="D101" t="s">
        <v>428</v>
      </c>
      <c r="E101" t="s">
        <v>429</v>
      </c>
      <c r="F101" t="s">
        <v>430</v>
      </c>
      <c r="G101" t="s">
        <v>431</v>
      </c>
      <c r="H101" t="s">
        <v>457</v>
      </c>
      <c r="K101" s="159" t="s">
        <v>483</v>
      </c>
      <c r="L101" s="159"/>
      <c r="M101" s="441" t="s">
        <v>464</v>
      </c>
      <c r="N101" s="442"/>
      <c r="O101" s="442"/>
      <c r="P101" s="442"/>
      <c r="Q101" s="442"/>
      <c r="R101" s="442"/>
      <c r="S101" s="442"/>
      <c r="T101" s="442"/>
      <c r="U101" s="442"/>
      <c r="V101" s="442"/>
      <c r="W101" s="442"/>
      <c r="X101" s="442"/>
      <c r="Y101" s="442"/>
      <c r="Z101" s="443"/>
      <c r="AA101" s="441" t="s">
        <v>468</v>
      </c>
      <c r="AB101" s="442"/>
      <c r="AC101" s="442"/>
      <c r="AD101" s="442"/>
      <c r="AE101" s="442"/>
      <c r="AF101" s="442"/>
      <c r="AG101" s="442"/>
      <c r="AH101" s="442"/>
      <c r="AI101" s="442"/>
      <c r="AJ101" s="442"/>
      <c r="AK101" s="442"/>
      <c r="AL101" s="442"/>
      <c r="AM101" s="442"/>
      <c r="AN101" s="443"/>
      <c r="AO101" s="441" t="s">
        <v>465</v>
      </c>
      <c r="AP101" s="442"/>
      <c r="AQ101" s="442"/>
      <c r="AR101" s="442"/>
      <c r="AS101" s="442"/>
      <c r="AT101" s="442"/>
      <c r="AU101" s="442"/>
      <c r="AV101" s="442"/>
      <c r="AW101" s="442"/>
      <c r="AX101" s="442"/>
      <c r="AY101" s="442"/>
      <c r="AZ101" s="442"/>
      <c r="BA101" s="442"/>
      <c r="BB101" s="443"/>
      <c r="BC101" s="441" t="s">
        <v>466</v>
      </c>
      <c r="BD101" s="442"/>
      <c r="BE101" s="442"/>
      <c r="BF101" s="442"/>
      <c r="BG101" s="442"/>
      <c r="BH101" s="442"/>
      <c r="BI101" s="442"/>
      <c r="BJ101" s="442"/>
      <c r="BK101" s="442"/>
      <c r="BL101" s="442"/>
      <c r="BM101" s="442"/>
      <c r="BN101" s="442"/>
      <c r="BO101" s="442"/>
      <c r="BP101" s="443"/>
      <c r="BQ101" s="441" t="s">
        <v>467</v>
      </c>
      <c r="BR101" s="442"/>
      <c r="BS101" s="442"/>
      <c r="BT101" s="442"/>
      <c r="BU101" s="442"/>
      <c r="BV101" s="442"/>
      <c r="BW101" s="442"/>
      <c r="BX101" s="442"/>
      <c r="BY101" s="442"/>
      <c r="BZ101" s="442"/>
      <c r="CA101" s="442"/>
      <c r="CB101" s="442"/>
      <c r="CC101" s="442"/>
      <c r="CD101" s="443"/>
      <c r="CE101" s="441" t="s">
        <v>21</v>
      </c>
      <c r="CF101" s="442"/>
      <c r="CG101" s="442"/>
      <c r="CH101" s="442"/>
      <c r="CI101" s="442"/>
      <c r="CJ101" s="442"/>
      <c r="CK101" s="442"/>
      <c r="CL101" s="442"/>
      <c r="CM101" s="442"/>
      <c r="CN101" s="442"/>
      <c r="CO101" s="442"/>
      <c r="CP101" s="442"/>
      <c r="CQ101" s="442"/>
      <c r="CR101" s="443"/>
      <c r="CV101" s="263" t="s">
        <v>483</v>
      </c>
      <c r="CW101" s="263"/>
      <c r="CX101" s="445" t="s">
        <v>555</v>
      </c>
      <c r="CY101" s="439"/>
      <c r="CZ101" s="439"/>
      <c r="DA101" s="446"/>
      <c r="DB101" s="438" t="s">
        <v>554</v>
      </c>
      <c r="DC101" s="439"/>
      <c r="DD101" s="439"/>
      <c r="DE101" s="446"/>
      <c r="DF101" s="438" t="s">
        <v>465</v>
      </c>
      <c r="DG101" s="439"/>
      <c r="DH101" s="439"/>
      <c r="DI101" s="446"/>
      <c r="DJ101" s="438" t="s">
        <v>466</v>
      </c>
      <c r="DK101" s="439"/>
      <c r="DL101" s="439"/>
      <c r="DM101" s="446"/>
      <c r="DN101" s="438" t="s">
        <v>467</v>
      </c>
      <c r="DO101" s="439"/>
      <c r="DP101" s="439"/>
      <c r="DQ101" s="446"/>
      <c r="DR101" s="438" t="s">
        <v>21</v>
      </c>
      <c r="DS101" s="439"/>
      <c r="DT101" s="439"/>
      <c r="DU101" s="440"/>
      <c r="DW101" s="278"/>
      <c r="DX101" s="278"/>
      <c r="DY101" s="444" t="s">
        <v>589</v>
      </c>
      <c r="DZ101" s="444"/>
      <c r="EB101" s="278"/>
      <c r="EC101" s="278"/>
      <c r="ED101" s="444" t="s">
        <v>589</v>
      </c>
      <c r="EE101" s="444"/>
      <c r="EI101" t="s">
        <v>600</v>
      </c>
    </row>
    <row r="102" spans="1:174">
      <c r="A102" s="199"/>
      <c r="B102" s="199"/>
      <c r="C102" s="202" t="s">
        <v>464</v>
      </c>
      <c r="D102" s="202" t="s">
        <v>468</v>
      </c>
      <c r="E102" s="202" t="s">
        <v>465</v>
      </c>
      <c r="F102" s="202" t="s">
        <v>466</v>
      </c>
      <c r="G102" s="202" t="s">
        <v>679</v>
      </c>
      <c r="H102" s="202" t="s">
        <v>21</v>
      </c>
      <c r="K102" s="159"/>
      <c r="L102" s="159"/>
      <c r="M102" s="211" t="s">
        <v>473</v>
      </c>
      <c r="N102" s="160" t="s">
        <v>156</v>
      </c>
      <c r="O102" s="160" t="s">
        <v>476</v>
      </c>
      <c r="P102" s="160" t="s">
        <v>477</v>
      </c>
      <c r="Q102" s="160" t="s">
        <v>478</v>
      </c>
      <c r="R102" s="160" t="s">
        <v>479</v>
      </c>
      <c r="S102" s="160" t="s">
        <v>480</v>
      </c>
      <c r="T102" s="160" t="s">
        <v>481</v>
      </c>
      <c r="U102" s="160" t="s">
        <v>449</v>
      </c>
      <c r="V102" s="160" t="s">
        <v>157</v>
      </c>
      <c r="W102" s="160" t="s">
        <v>474</v>
      </c>
      <c r="X102" s="160" t="s">
        <v>475</v>
      </c>
      <c r="Y102" s="160" t="s">
        <v>46</v>
      </c>
      <c r="Z102" s="212" t="s">
        <v>11</v>
      </c>
      <c r="AA102" s="211" t="s">
        <v>473</v>
      </c>
      <c r="AB102" s="160" t="s">
        <v>156</v>
      </c>
      <c r="AC102" s="160" t="s">
        <v>476</v>
      </c>
      <c r="AD102" s="160" t="s">
        <v>477</v>
      </c>
      <c r="AE102" s="160" t="s">
        <v>478</v>
      </c>
      <c r="AF102" s="160" t="s">
        <v>479</v>
      </c>
      <c r="AG102" s="160" t="s">
        <v>480</v>
      </c>
      <c r="AH102" s="160" t="s">
        <v>481</v>
      </c>
      <c r="AI102" s="160" t="s">
        <v>449</v>
      </c>
      <c r="AJ102" s="160" t="s">
        <v>157</v>
      </c>
      <c r="AK102" s="160" t="s">
        <v>474</v>
      </c>
      <c r="AL102" s="160" t="s">
        <v>475</v>
      </c>
      <c r="AM102" s="160" t="s">
        <v>46</v>
      </c>
      <c r="AN102" s="212" t="s">
        <v>11</v>
      </c>
      <c r="AO102" s="211" t="s">
        <v>473</v>
      </c>
      <c r="AP102" s="160" t="s">
        <v>156</v>
      </c>
      <c r="AQ102" s="160" t="s">
        <v>476</v>
      </c>
      <c r="AR102" s="160" t="s">
        <v>477</v>
      </c>
      <c r="AS102" s="160" t="s">
        <v>478</v>
      </c>
      <c r="AT102" s="160" t="s">
        <v>479</v>
      </c>
      <c r="AU102" s="160" t="s">
        <v>480</v>
      </c>
      <c r="AV102" s="160" t="s">
        <v>481</v>
      </c>
      <c r="AW102" s="160" t="s">
        <v>449</v>
      </c>
      <c r="AX102" s="160" t="s">
        <v>157</v>
      </c>
      <c r="AY102" s="160" t="s">
        <v>474</v>
      </c>
      <c r="AZ102" s="160" t="s">
        <v>475</v>
      </c>
      <c r="BA102" s="160" t="s">
        <v>46</v>
      </c>
      <c r="BB102" s="212" t="s">
        <v>11</v>
      </c>
      <c r="BC102" s="211" t="s">
        <v>473</v>
      </c>
      <c r="BD102" s="160" t="s">
        <v>156</v>
      </c>
      <c r="BE102" s="160" t="s">
        <v>476</v>
      </c>
      <c r="BF102" s="160" t="s">
        <v>477</v>
      </c>
      <c r="BG102" s="160" t="s">
        <v>478</v>
      </c>
      <c r="BH102" s="160" t="s">
        <v>479</v>
      </c>
      <c r="BI102" s="160" t="s">
        <v>480</v>
      </c>
      <c r="BJ102" s="160" t="s">
        <v>481</v>
      </c>
      <c r="BK102" s="160" t="s">
        <v>449</v>
      </c>
      <c r="BL102" s="160" t="s">
        <v>157</v>
      </c>
      <c r="BM102" s="160" t="s">
        <v>474</v>
      </c>
      <c r="BN102" s="160" t="s">
        <v>475</v>
      </c>
      <c r="BO102" s="160" t="s">
        <v>46</v>
      </c>
      <c r="BP102" s="212" t="s">
        <v>11</v>
      </c>
      <c r="BQ102" s="211" t="s">
        <v>473</v>
      </c>
      <c r="BR102" s="160" t="s">
        <v>156</v>
      </c>
      <c r="BS102" s="160" t="s">
        <v>476</v>
      </c>
      <c r="BT102" s="160" t="s">
        <v>477</v>
      </c>
      <c r="BU102" s="160" t="s">
        <v>478</v>
      </c>
      <c r="BV102" s="160" t="s">
        <v>479</v>
      </c>
      <c r="BW102" s="160" t="s">
        <v>480</v>
      </c>
      <c r="BX102" s="160" t="s">
        <v>481</v>
      </c>
      <c r="BY102" s="160" t="s">
        <v>449</v>
      </c>
      <c r="BZ102" s="160" t="s">
        <v>157</v>
      </c>
      <c r="CA102" s="160" t="s">
        <v>474</v>
      </c>
      <c r="CB102" s="160" t="s">
        <v>475</v>
      </c>
      <c r="CC102" s="160" t="s">
        <v>46</v>
      </c>
      <c r="CD102" s="212" t="s">
        <v>11</v>
      </c>
      <c r="CE102" s="211" t="s">
        <v>473</v>
      </c>
      <c r="CF102" s="160" t="s">
        <v>156</v>
      </c>
      <c r="CG102" s="160" t="s">
        <v>476</v>
      </c>
      <c r="CH102" s="160" t="s">
        <v>477</v>
      </c>
      <c r="CI102" s="160" t="s">
        <v>478</v>
      </c>
      <c r="CJ102" s="160" t="s">
        <v>479</v>
      </c>
      <c r="CK102" s="160" t="s">
        <v>480</v>
      </c>
      <c r="CL102" s="160" t="s">
        <v>481</v>
      </c>
      <c r="CM102" s="160" t="s">
        <v>449</v>
      </c>
      <c r="CN102" s="160" t="s">
        <v>157</v>
      </c>
      <c r="CO102" s="160" t="s">
        <v>474</v>
      </c>
      <c r="CP102" s="160" t="s">
        <v>475</v>
      </c>
      <c r="CQ102" s="160" t="s">
        <v>46</v>
      </c>
      <c r="CR102" s="212" t="s">
        <v>11</v>
      </c>
      <c r="CV102" s="263"/>
      <c r="CW102" s="263"/>
      <c r="CX102" s="264" t="s">
        <v>156</v>
      </c>
      <c r="CY102" s="264" t="s">
        <v>479</v>
      </c>
      <c r="CZ102" s="264" t="s">
        <v>480</v>
      </c>
      <c r="DA102" s="264" t="s">
        <v>157</v>
      </c>
      <c r="DB102" s="264" t="s">
        <v>156</v>
      </c>
      <c r="DC102" s="264" t="s">
        <v>479</v>
      </c>
      <c r="DD102" s="264" t="s">
        <v>480</v>
      </c>
      <c r="DE102" s="264" t="s">
        <v>157</v>
      </c>
      <c r="DF102" s="264" t="s">
        <v>156</v>
      </c>
      <c r="DG102" s="264" t="s">
        <v>479</v>
      </c>
      <c r="DH102" s="264" t="s">
        <v>480</v>
      </c>
      <c r="DI102" s="264" t="s">
        <v>157</v>
      </c>
      <c r="DJ102" s="264" t="s">
        <v>156</v>
      </c>
      <c r="DK102" s="264" t="s">
        <v>479</v>
      </c>
      <c r="DL102" s="264" t="s">
        <v>480</v>
      </c>
      <c r="DM102" s="264" t="s">
        <v>157</v>
      </c>
      <c r="DN102" s="264" t="s">
        <v>156</v>
      </c>
      <c r="DO102" s="264" t="s">
        <v>479</v>
      </c>
      <c r="DP102" s="264" t="s">
        <v>480</v>
      </c>
      <c r="DQ102" s="264" t="s">
        <v>157</v>
      </c>
      <c r="DR102" s="264" t="s">
        <v>156</v>
      </c>
      <c r="DS102" s="264" t="s">
        <v>479</v>
      </c>
      <c r="DT102" s="264" t="s">
        <v>480</v>
      </c>
      <c r="DU102" s="264" t="s">
        <v>157</v>
      </c>
      <c r="DW102" s="278"/>
      <c r="DX102" s="278"/>
      <c r="DY102" s="280" t="s">
        <v>586</v>
      </c>
      <c r="DZ102" s="280" t="s">
        <v>259</v>
      </c>
      <c r="EB102" s="278"/>
      <c r="EC102" s="278"/>
      <c r="ED102" s="280" t="s">
        <v>586</v>
      </c>
      <c r="EE102" s="280" t="s">
        <v>259</v>
      </c>
      <c r="EL102" s="306" t="s">
        <v>565</v>
      </c>
      <c r="EM102" s="306" t="s">
        <v>566</v>
      </c>
      <c r="EN102" s="306" t="s">
        <v>567</v>
      </c>
      <c r="EO102" s="306" t="s">
        <v>563</v>
      </c>
      <c r="EP102" s="307" t="s">
        <v>598</v>
      </c>
      <c r="EQ102" s="307" t="s">
        <v>586</v>
      </c>
      <c r="ER102" s="307" t="s">
        <v>259</v>
      </c>
      <c r="ET102" s="420" t="s">
        <v>565</v>
      </c>
      <c r="EU102" s="420" t="s">
        <v>566</v>
      </c>
      <c r="EV102" s="420" t="s">
        <v>567</v>
      </c>
      <c r="EW102" s="420" t="s">
        <v>563</v>
      </c>
      <c r="EX102" s="421" t="s">
        <v>598</v>
      </c>
      <c r="EY102" s="421" t="s">
        <v>586</v>
      </c>
      <c r="EZ102" s="421" t="s">
        <v>259</v>
      </c>
      <c r="FA102" s="424" t="s">
        <v>866</v>
      </c>
      <c r="FD102" s="306" t="s">
        <v>565</v>
      </c>
      <c r="FE102" s="306" t="s">
        <v>566</v>
      </c>
      <c r="FF102" s="306" t="s">
        <v>567</v>
      </c>
      <c r="FG102" s="306" t="s">
        <v>563</v>
      </c>
      <c r="FH102" s="307" t="s">
        <v>598</v>
      </c>
      <c r="FI102" s="307" t="s">
        <v>586</v>
      </c>
      <c r="FJ102" s="307" t="s">
        <v>259</v>
      </c>
      <c r="FL102" s="101"/>
      <c r="FM102" s="101"/>
      <c r="FN102" s="101"/>
      <c r="FO102" s="101"/>
      <c r="FP102" s="374"/>
      <c r="FQ102" s="374"/>
      <c r="FR102" s="374"/>
    </row>
    <row r="103" spans="1:174">
      <c r="A103" s="205"/>
      <c r="B103" s="205" t="s">
        <v>12</v>
      </c>
      <c r="C103" s="400">
        <f>$AB61*KTDB_TripDistribution_2025!L$12 * (1+KTDB_발생량도착량_증가율!$C$8*2)</f>
        <v>62.302489385647824</v>
      </c>
      <c r="D103" s="400">
        <f>$AB61*KTDB_TripDistribution_2025!M$12 * (1+KTDB_발생량도착량_증가율!$C$8*2)</f>
        <v>484.47246575551031</v>
      </c>
      <c r="E103" s="400">
        <f>$AB61*KTDB_TripDistribution_2025!N$12 * (1+KTDB_발생량도착량_증가율!$C$8*2)</f>
        <v>21.47441311197165</v>
      </c>
      <c r="F103" s="400">
        <f>$AB61*KTDB_TripDistribution_2025!O$12 * (1+KTDB_발생량도착량_증가율!$C$8*2)</f>
        <v>5.8235696574838583E-2</v>
      </c>
      <c r="G103" s="400">
        <f>$AB61*KTDB_TripDistribution_2025!P$12 * (1+KTDB_발생량도착량_증가율!$C$8*2)</f>
        <v>0.16500114029537516</v>
      </c>
      <c r="H103" s="400">
        <f>$AB61*KTDB_TripDistribution_2025!Q$12 * (1+KTDB_발생량도착량_증가율!$C$8*2)</f>
        <v>568.47260509</v>
      </c>
      <c r="J103" s="230">
        <f t="shared" ref="J103:J107" si="46">CR103</f>
        <v>568.47260509000012</v>
      </c>
      <c r="K103" s="206"/>
      <c r="L103" s="206" t="s">
        <v>12</v>
      </c>
      <c r="M103" s="206">
        <f>INDEX($A$102:$H$115,MATCH($L103,$B$102:$B$115,0),MATCH($M$101,$A$102:$H$102,0))*고양시_Modal_split!C$3 * 0.01</f>
        <v>0.17444697027981387</v>
      </c>
      <c r="N103" s="206">
        <f>INDEX($A$102:$H$115,MATCH($L103,$B$102:$B$115,0),MATCH($M$101,$A$102:$H$102,0))*고양시_Modal_split!D$3 * 0.01</f>
        <v>29.300860758070172</v>
      </c>
      <c r="O103" s="206">
        <f>INDEX($A$102:$H$115,MATCH($L103,$B$102:$B$115,0),MATCH($M$101,$A$102:$H$102,0))*고양시_Modal_split!E$3 * 0.01</f>
        <v>3.5450116460433612</v>
      </c>
      <c r="P103" s="206">
        <f>INDEX($A$102:$H$115,MATCH($L103,$B$102:$B$115,0),MATCH($M$101,$A$102:$H$102,0))*고양시_Modal_split!F$3 * 0.01</f>
        <v>5.7131382766639058</v>
      </c>
      <c r="Q103" s="206">
        <f>INDEX($A$102:$H$115,MATCH($L103,$B$102:$B$115,0),MATCH($M$101,$A$102:$H$102,0))*고양시_Modal_split!G$3 * 0.01</f>
        <v>0.57318290234795999</v>
      </c>
      <c r="R103" s="206">
        <f>INDEX($A$102:$H$115,MATCH($L103,$B$102:$B$115,0),MATCH($M$101,$A$102:$H$102,0))*고양시_Modal_split!H$3 * 0.01</f>
        <v>6.230248938564783E-3</v>
      </c>
      <c r="S103" s="206">
        <f>INDEX($A$102:$H$115,MATCH($L103,$B$102:$B$115,0),MATCH($M$101,$A$102:$H$102,0))*고양시_Modal_split!I$3 * 0.01</f>
        <v>1.7320092049210096</v>
      </c>
      <c r="T103" s="206">
        <f>INDEX($A$102:$H$115,MATCH($L103,$B$102:$B$115,0),MATCH($M$101,$A$102:$H$102,0))*고양시_Modal_split!J$3 * 0.01</f>
        <v>18.964877768991197</v>
      </c>
      <c r="U103" s="206">
        <f>INDEX($A$102:$H$115,MATCH($L103,$B$102:$B$115,0),MATCH($M$101,$A$102:$H$102,0))*고양시_Modal_split!K$3 * 0.01</f>
        <v>9.345373407847174E-2</v>
      </c>
      <c r="V103" s="206">
        <f>INDEX($A$102:$H$115,MATCH($L103,$B$102:$B$115,0),MATCH($M$101,$A$102:$H$102,0))*고양시_Modal_split!L$3 * 0.01</f>
        <v>1.8815351794465645</v>
      </c>
      <c r="W103" s="206">
        <f>INDEX($A$102:$H$115,MATCH($L103,$B$102:$B$115,0),MATCH($M$101,$A$102:$H$102,0))*고양시_Modal_split!M$3 * 0.01</f>
        <v>0.14329572558699</v>
      </c>
      <c r="X103" s="206">
        <f>INDEX($A$102:$H$115,MATCH($L103,$B$102:$B$115,0),MATCH($M$101,$A$102:$H$102,0))*고양시_Modal_split!N$3 * 0.01</f>
        <v>6.2302489385647829E-2</v>
      </c>
      <c r="Y103" s="206">
        <f>INDEX($A$102:$H$115,MATCH($L103,$B$102:$B$115,0),MATCH($M$101,$A$102:$H$102,0))*고양시_Modal_split!O$3 * 0.01</f>
        <v>0.11214448089416608</v>
      </c>
      <c r="Z103" s="209">
        <f>INDEX($A$102:$H$115,MATCH($L103,$B$102:$B$115,0),MATCH($M$101,$A$102:$H$102,0))*고양시_Modal_split!P$3 * 0.01</f>
        <v>62.302489385647824</v>
      </c>
      <c r="AA103" s="207">
        <f>INDEX($A$102:$H$115,MATCH($L103,$B$102:$B$115,0),MATCH($AA$101,$A$102:$H$102,0))*고양시_Modal_split!C$3 * 0.01</f>
        <v>1.3565229041154288</v>
      </c>
      <c r="AB103" s="207">
        <f>INDEX($A$102:$H$115,MATCH($L103,$B$102:$B$115,0),MATCH($AA$101,$A$102:$H$102,0))*고양시_Modal_split!D$3 * 0.01</f>
        <v>227.84740064481653</v>
      </c>
      <c r="AC103" s="207">
        <f>INDEX($A$102:$H$115,MATCH($L103,$B$102:$B$115,0),MATCH($AA$101,$A$102:$H$102,0))*고양시_Modal_split!E$3 * 0.01</f>
        <v>27.566483301488535</v>
      </c>
      <c r="AD103" s="207">
        <f>INDEX($A$102:$H$115,MATCH($L103,$B$102:$B$115,0),MATCH($AA$101,$A$102:$H$102,0))*고양시_Modal_split!F$3 * 0.01</f>
        <v>44.426125109780294</v>
      </c>
      <c r="AE103" s="207">
        <f>INDEX($A$102:$H$115,MATCH($L103,$B$102:$B$115,0),MATCH($AA$101,$A$102:$H$102,0))*고양시_Modal_split!G$3 * 0.01</f>
        <v>4.4571466849506951</v>
      </c>
      <c r="AF103" s="207">
        <f>INDEX($A$102:$H$115,MATCH($L103,$B$102:$B$115,0),MATCH($AA$101,$A$102:$H$102,0))*고양시_Modal_split!H$3 * 0.01</f>
        <v>4.844724657555103E-2</v>
      </c>
      <c r="AG103" s="207">
        <f>INDEX($A$102:$H$115,MATCH($L103,$B$102:$B$115,0),MATCH($AA$101,$A$102:$H$102,0))*고양시_Modal_split!I$3 * 0.01</f>
        <v>13.468334548003186</v>
      </c>
      <c r="AH103" s="207">
        <f>INDEX($A$102:$H$115,MATCH($L103,$B$102:$B$115,0),MATCH($AA$101,$A$102:$H$102,0))*고양시_Modal_split!J$3 * 0.01</f>
        <v>147.47341857597735</v>
      </c>
      <c r="AI103" s="207">
        <f>INDEX($A$102:$H$115,MATCH($L103,$B$102:$B$115,0),MATCH($AA$101,$A$102:$H$102,0))*고양시_Modal_split!K$3 * 0.01</f>
        <v>0.72670869863326548</v>
      </c>
      <c r="AJ103" s="207">
        <f>INDEX($A$102:$H$115,MATCH($L103,$B$102:$B$115,0),MATCH($AA$101,$A$102:$H$102,0))*고양시_Modal_split!L$3 * 0.01</f>
        <v>14.631068465816412</v>
      </c>
      <c r="AK103" s="207">
        <f>INDEX($A$102:$H$115,MATCH($L103,$B$102:$B$115,0),MATCH($AA$101,$A$102:$H$102,0))*고양시_Modal_split!M$3 * 0.01</f>
        <v>1.1142866712376738</v>
      </c>
      <c r="AL103" s="207">
        <f>INDEX($A$102:$H$115,MATCH($L103,$B$102:$B$115,0),MATCH($AA$101,$A$102:$H$102,0))*고양시_Modal_split!N$3 * 0.01</f>
        <v>0.48447246575551034</v>
      </c>
      <c r="AM103" s="207">
        <f>INDEX($A$102:$H$115,MATCH($L103,$B$102:$B$115,0),MATCH($AA$101,$A$102:$H$102,0))*고양시_Modal_split!O$3 * 0.01</f>
        <v>0.87205043835991858</v>
      </c>
      <c r="AN103" s="207">
        <f>INDEX($A$102:$H$115,MATCH($L103,$B$102:$B$115,0),MATCH($AA$101,$A$102:$H$102,0))*고양시_Modal_split!P$3 * 0.01</f>
        <v>484.47246575551037</v>
      </c>
      <c r="AO103" s="303">
        <f>INDEX($A$102:$H$115,MATCH($L103,$B$102:$B$115,0),MATCH($AO$101,$A$102:$H$102,0))*고양시_Modal_split!C$3 * 0.01</f>
        <v>6.0128356713520612E-2</v>
      </c>
      <c r="AP103" s="303">
        <f>INDEX($A$102:$H$115,MATCH($L103,$B$102:$B$115,0),MATCH($AO$101,$A$102:$H$102,0))*고양시_Modal_split!D$3 * 0.01</f>
        <v>10.099416486560267</v>
      </c>
      <c r="AQ103" s="303">
        <f>INDEX($A$102:$H$115,MATCH($L103,$B$102:$B$115,0),MATCH($AO$101,$A$102:$H$102,0))*고양시_Modal_split!E$3 * 0.01</f>
        <v>1.2218941060711868</v>
      </c>
      <c r="AR103" s="303">
        <f>INDEX($A$102:$H$115,MATCH($L103,$B$102:$B$115,0),MATCH($AO$101,$A$102:$H$102,0))*고양시_Modal_split!F$3 * 0.01</f>
        <v>1.9692036823678003</v>
      </c>
      <c r="AS103" s="303">
        <f>INDEX($A$102:$H$115,MATCH($L103,$B$102:$B$115,0),MATCH($AO$101,$A$102:$H$102,0))*고양시_Modal_split!G$3 * 0.01</f>
        <v>0.19756460063013914</v>
      </c>
      <c r="AT103" s="303">
        <f>INDEX($A$102:$H$115,MATCH($L103,$B$102:$B$115,0),MATCH($AO$101,$A$102:$H$102,0))*고양시_Modal_split!H$3 * 0.01</f>
        <v>2.1474413111971648E-3</v>
      </c>
      <c r="AU103" s="303">
        <f>INDEX($A$102:$H$115,MATCH($L103,$B$102:$B$115,0),MATCH($AO$101,$A$102:$H$102,0))*고양시_Modal_split!I$3 * 0.01</f>
        <v>0.59698868451281184</v>
      </c>
      <c r="AV103" s="303">
        <f>INDEX($A$102:$H$115,MATCH($L103,$B$102:$B$115,0),MATCH($AO$101,$A$102:$H$102,0))*고양시_Modal_split!J$3 * 0.01</f>
        <v>6.5368113512841708</v>
      </c>
      <c r="AW103" s="303">
        <f>INDEX($A$102:$H$115,MATCH($L103,$B$102:$B$115,0),MATCH($AO$101,$A$102:$H$102,0))*고양시_Modal_split!K$3 * 0.01</f>
        <v>3.2211619667957478E-2</v>
      </c>
      <c r="AX103" s="303">
        <f>INDEX($A$102:$H$115,MATCH($L103,$B$102:$B$115,0),MATCH($AO$101,$A$102:$H$102,0))*고양시_Modal_split!L$3 * 0.01</f>
        <v>0.64852727598154392</v>
      </c>
      <c r="AY103" s="303">
        <f>INDEX($A$102:$H$115,MATCH($L103,$B$102:$B$115,0),MATCH($AO$101,$A$102:$H$102,0))*고양시_Modal_split!M$3 * 0.01</f>
        <v>4.9391150157534786E-2</v>
      </c>
      <c r="AZ103" s="303">
        <f>INDEX($A$102:$H$115,MATCH($L103,$B$102:$B$115,0),MATCH($AO$101,$A$102:$H$102,0))*고양시_Modal_split!N$3 * 0.01</f>
        <v>2.1474413111971652E-2</v>
      </c>
      <c r="BA103" s="207">
        <f>INDEX($A$102:$H$115,MATCH($L103,$B$102:$B$115,0),MATCH($AO$101,$A$102:$H$102,0))*고양시_Modal_split!O$3 * 0.01</f>
        <v>3.8653943601548967E-2</v>
      </c>
      <c r="BB103" s="207">
        <f>INDEX($A$102:$H$115,MATCH($L103,$B$102:$B$115,0),MATCH($AO$101,$A$102:$H$102,0))*고양시_Modal_split!P$3 * 0.01</f>
        <v>21.47441311197165</v>
      </c>
      <c r="BC103" s="207">
        <f>INDEX($A$102:$H$115,MATCH($L103,$B$102:$B$115,0),MATCH($BC$101,$A$102:$H$102,0))*고양시_Modal_split!C$3 * 0.01</f>
        <v>1.6305995040954803E-4</v>
      </c>
      <c r="BD103" s="207">
        <f>INDEX($A$102:$H$115,MATCH($L103,$B$102:$B$115,0),MATCH($BC$101,$A$102:$H$102,0))*고양시_Modal_split!D$3 * 0.01</f>
        <v>2.7388248099146587E-2</v>
      </c>
      <c r="BE103" s="207">
        <f>INDEX($A$102:$H$115,MATCH($L103,$B$102:$B$115,0),MATCH($BC$101,$A$102:$H$102,0))*고양시_Modal_split!E$3 * 0.01</f>
        <v>3.3136111351083153E-3</v>
      </c>
      <c r="BF103" s="207">
        <f>INDEX($A$102:$H$115,MATCH($L103,$B$102:$B$115,0),MATCH($BC$101,$A$102:$H$102,0))*고양시_Modal_split!F$3 * 0.01</f>
        <v>5.3402133759126984E-3</v>
      </c>
      <c r="BG103" s="207">
        <f>INDEX($A$102:$H$115,MATCH($L103,$B$102:$B$115,0),MATCH($BC$101,$A$102:$H$102,0))*고양시_Modal_split!G$3 * 0.01</f>
        <v>5.3576840848851488E-4</v>
      </c>
      <c r="BH103" s="207">
        <f>INDEX($A$102:$H$115,MATCH($L103,$B$102:$B$115,0),MATCH($BC$101,$A$102:$H$102,0))*고양시_Modal_split!H$3 * 0.01</f>
        <v>5.8235696574838582E-6</v>
      </c>
      <c r="BI103" s="207">
        <f>INDEX($A$102:$H$115,MATCH($L103,$B$102:$B$115,0),MATCH($BC$101,$A$102:$H$102,0))*고양시_Modal_split!I$3 * 0.01</f>
        <v>1.6189523647805128E-3</v>
      </c>
      <c r="BJ103" s="207">
        <f>INDEX($A$102:$H$115,MATCH($L103,$B$102:$B$115,0),MATCH($BC$101,$A$102:$H$102,0))*고양시_Modal_split!J$3 * 0.01</f>
        <v>1.7726946037380866E-2</v>
      </c>
      <c r="BK103" s="207">
        <f>INDEX($A$102:$H$115,MATCH($L103,$B$102:$B$115,0),MATCH($BC$101,$A$102:$H$102,0))*고양시_Modal_split!K$3 * 0.01</f>
        <v>8.735354486225788E-5</v>
      </c>
      <c r="BL103" s="207">
        <f>INDEX($A$102:$H$115,MATCH($L103,$B$102:$B$115,0),MATCH($BC$101,$A$102:$H$102,0))*고양시_Modal_split!L$3 * 0.01</f>
        <v>1.7587180365601252E-3</v>
      </c>
      <c r="BM103" s="207">
        <f>INDEX($A$102:$H$115,MATCH($L103,$B$102:$B$115,0),MATCH($BC$101,$A$102:$H$102,0))*고양시_Modal_split!M$3 * 0.01</f>
        <v>1.3394210212212872E-4</v>
      </c>
      <c r="BN103" s="207">
        <f>INDEX($A$102:$H$115,MATCH($L103,$B$102:$B$115,0),MATCH($BC$101,$A$102:$H$102,0))*고양시_Modal_split!N$3 * 0.01</f>
        <v>5.8235696574838589E-5</v>
      </c>
      <c r="BO103" s="207">
        <f>INDEX($A$102:$H$115,MATCH($L103,$B$102:$B$115,0),MATCH($BC$101,$A$102:$H$102,0))*고양시_Modal_split!O$3 * 0.01</f>
        <v>1.0482425383470945E-4</v>
      </c>
      <c r="BP103" s="207">
        <f>INDEX($A$102:$H$115,MATCH($L103,$B$102:$B$115,0),MATCH($BC$101,$A$102:$H$102,0))*고양시_Modal_split!P$3 * 0.01</f>
        <v>5.8235696574838583E-2</v>
      </c>
      <c r="BQ103" s="207">
        <f>INDEX($A$102:$H$115,MATCH($L103,$B$102:$B$115,0),MATCH($BQ$101,$A$102:$H$102,0))*고양시_Modal_split!C$3 * 0.01</f>
        <v>4.6200319282705039E-4</v>
      </c>
      <c r="BR103" s="207">
        <f>INDEX($A$102:$H$115,MATCH($L103,$B$102:$B$115,0),MATCH($BQ$101,$A$102:$H$102,0))*고양시_Modal_split!D$3 * 0.01</f>
        <v>7.7600036280914941E-2</v>
      </c>
      <c r="BS103" s="207">
        <f>INDEX($A$102:$H$115,MATCH($L103,$B$102:$B$115,0),MATCH($BQ$101,$A$102:$H$102,0))*고양시_Modal_split!E$3 * 0.01</f>
        <v>9.3885648828068453E-3</v>
      </c>
      <c r="BT103" s="207">
        <f>INDEX($A$102:$H$115,MATCH($L103,$B$102:$B$115,0),MATCH($BQ$101,$A$102:$H$102,0))*고양시_Modal_split!F$3 * 0.01</f>
        <v>1.5130604565085902E-2</v>
      </c>
      <c r="BU103" s="207">
        <f>INDEX($A$102:$H$115,MATCH($L103,$B$102:$B$115,0),MATCH($BQ$101,$A$102:$H$102,0))*고양시_Modal_split!G$3 * 0.01</f>
        <v>1.5180104907174512E-3</v>
      </c>
      <c r="BV103" s="207">
        <f>INDEX($A$102:$H$115,MATCH($L103,$B$102:$B$115,0),MATCH($BQ$101,$A$102:$H$102,0))*고양시_Modal_split!H$3 * 0.01</f>
        <v>1.6500114029537516E-5</v>
      </c>
      <c r="BW103" s="207">
        <f>INDEX($A$102:$H$115,MATCH($L103,$B$102:$B$115,0),MATCH($BQ$101,$A$102:$H$102,0))*고양시_Modal_split!I$3 * 0.01</f>
        <v>4.5870317002114289E-3</v>
      </c>
      <c r="BX103" s="207">
        <f>INDEX($A$102:$H$115,MATCH($L103,$B$102:$B$115,0),MATCH($BQ$101,$A$102:$H$102,0))*고양시_Modal_split!J$3 * 0.01</f>
        <v>5.02263471059122E-2</v>
      </c>
      <c r="BY103" s="207">
        <f>INDEX($A$102:$H$115,MATCH($L103,$B$102:$B$115,0),MATCH($BQ$101,$A$102:$H$102,0))*고양시_Modal_split!K$3 * 0.01</f>
        <v>2.4750171044306274E-4</v>
      </c>
      <c r="BZ103" s="207">
        <f>INDEX($A$102:$H$115,MATCH($L103,$B$102:$B$115,0),MATCH($BQ$101,$A$102:$H$102,0))*고양시_Modal_split!L$3 * 0.01</f>
        <v>4.9830344369203297E-3</v>
      </c>
      <c r="CA103" s="207">
        <f>INDEX($A$102:$H$115,MATCH($L103,$B$102:$B$115,0),MATCH($BQ$101,$A$102:$H$102,0))*고양시_Modal_split!M$3 * 0.01</f>
        <v>3.7950262267936281E-4</v>
      </c>
      <c r="CB103" s="207">
        <f>INDEX($A$102:$H$115,MATCH($L103,$B$102:$B$115,0),MATCH($BQ$101,$A$102:$H$102,0))*고양시_Modal_split!N$3 * 0.01</f>
        <v>1.6500114029537519E-4</v>
      </c>
      <c r="CC103" s="207">
        <f>INDEX($A$102:$H$115,MATCH($L103,$B$102:$B$115,0),MATCH($BQ$101,$A$102:$H$102,0))*고양시_Modal_split!O$3 * 0.01</f>
        <v>2.9700205253167529E-4</v>
      </c>
      <c r="CD103" s="207">
        <f>INDEX($A$102:$H$115,MATCH($L103,$B$102:$B$115,0),MATCH($BQ$101,$A$102:$H$102,0))*고양시_Modal_split!P$3 * 0.01</f>
        <v>0.16500114029537519</v>
      </c>
      <c r="CE103" s="304">
        <f>M103+AA103+AO103+BC103+BQ103</f>
        <v>1.5917232942519999</v>
      </c>
      <c r="CF103" s="304">
        <f t="shared" ref="CF103:CR115" si="47">N103+AB103+AP103+BD103+BR103</f>
        <v>267.352666173827</v>
      </c>
      <c r="CG103" s="304">
        <f t="shared" si="47"/>
        <v>32.346091229620995</v>
      </c>
      <c r="CH103" s="304">
        <f t="shared" si="47"/>
        <v>52.128937886752993</v>
      </c>
      <c r="CI103" s="304">
        <f t="shared" si="47"/>
        <v>5.229947966828</v>
      </c>
      <c r="CJ103" s="304">
        <f t="shared" si="47"/>
        <v>5.6847260508999999E-2</v>
      </c>
      <c r="CK103" s="304">
        <f t="shared" si="47"/>
        <v>15.803538421502001</v>
      </c>
      <c r="CL103" s="304">
        <f t="shared" si="47"/>
        <v>173.043060989396</v>
      </c>
      <c r="CM103" s="304">
        <f t="shared" si="47"/>
        <v>0.85270890763499996</v>
      </c>
      <c r="CN103" s="304">
        <f t="shared" si="47"/>
        <v>17.167872673718001</v>
      </c>
      <c r="CO103" s="304">
        <f t="shared" si="47"/>
        <v>1.307486991707</v>
      </c>
      <c r="CP103" s="304">
        <f t="shared" si="47"/>
        <v>0.56847260508999997</v>
      </c>
      <c r="CQ103" s="304">
        <f t="shared" si="47"/>
        <v>1.0232506891619999</v>
      </c>
      <c r="CR103" s="304">
        <f t="shared" si="47"/>
        <v>568.47260509000012</v>
      </c>
      <c r="CS103" s="305">
        <f>H103-CR103</f>
        <v>0</v>
      </c>
      <c r="CV103" s="265"/>
      <c r="CW103" s="265" t="s">
        <v>12</v>
      </c>
      <c r="CX103" s="267">
        <f>INDEX($M$101:$Z$115,MATCH($CW103,$L$101:$L$115,0),MATCH(CX$102,$M$102:$Z$102,0))/INDEX(고양시_재차인원!$D$4:$H$35,MATCH("고양시",고양시_재차인원!$B$4:$B$35,0),MATCH($CX$101,고양시_재차인원!$D$4:$H$4,0))</f>
        <v>26.161482819705508</v>
      </c>
      <c r="CY103" s="267">
        <f>INDEX($M$101:$Z$115,MATCH($CW103,$L$101:$L$115,0),MATCH(CY$102,$M$102:$Z$102,0))/INDEX(고양시_재차인원!$K$4:$O$20,MATCH("경기도",고양시_재차인원!$K$4:$K$20,0),MATCH(CY$102,고양시_재차인원!$K$4:$O$4,0))</f>
        <v>2.1640322815438636E-4</v>
      </c>
      <c r="CZ103" s="267">
        <f>INDEX($M$101:$Z$115,MATCH($CW103,$L$101:$L$115,0),MATCH(CZ$102,$M$102:$Z$102,0))/INDEX(고양시_재차인원!$K$4:$O$20,MATCH("경기도",고양시_재차인원!$K$4:$K$20,0),MATCH(CZ$102,고양시_재차인원!$K$4:$O$4,0))</f>
        <v>6.0160097426919405E-2</v>
      </c>
      <c r="DA103" s="267">
        <f>INDEX($M$101:$Z$115,MATCH($CW103,$L$101:$L$115,0),MATCH(DA$102,$M$102:$Z$102,0))/INDEX(고양시_재차인원!$D$4:$H$35,MATCH("고양시",고양시_재차인원!$B$4:$B$35,0),MATCH($CX$101,고양시_재차인원!$D$4:$H$4,0))</f>
        <v>1.679942124505861</v>
      </c>
      <c r="DB103" s="267">
        <f>INDEX($AA$101:$AN$115,MATCH($CW103,$L$101:$L$115,0),MATCH(DB$102,$AA$102:$AN$102,0))/INDEX(고양시_재차인원!$D$4:$H$35,MATCH("고양시",고양시_재차인원!$B$4:$B$35,0),MATCH($DB$101,고양시_재차인원!$D$4:$H$4,0))</f>
        <v>161.59390116653657</v>
      </c>
      <c r="DC103" s="267">
        <f>INDEX($AA$101:$AN$115,MATCH($CW103,$L$101:$L$115,0),MATCH(DC$102,$AA$102:$AN$102,0))/INDEX(고양시_재차인원!$K$4:$O$20,MATCH("경기도",고양시_재차인원!$K$4:$K$20,0),MATCH(DC$102,고양시_재차인원!$K$4:$O$4,0))</f>
        <v>1.6827803603873231E-3</v>
      </c>
      <c r="DD103" s="267">
        <f>INDEX($AA$101:$AN$115,MATCH($CW103,$L$101:$L$115,0),MATCH(DD$102,$AA$102:$AN$102,0))/INDEX(고양시_재차인원!$K$4:$O$20,MATCH("경기도",고양시_재차인원!$K$4:$K$20,0),MATCH(DD$102,고양시_재차인원!$K$4:$O$4,0))</f>
        <v>0.46781294018767583</v>
      </c>
      <c r="DE103" s="267">
        <f>INDEX($AA$101:$AN$115,MATCH($CW103,$L$101:$L$115,0),MATCH(DE$102,$AA$102:$AN$102,0))/INDEX(고양시_재차인원!$D$4:$H$35,MATCH("고양시",고양시_재차인원!$B$4:$B$35,0),MATCH($DB$101,고양시_재차인원!$D$4:$H$4,0))</f>
        <v>10.376644301997455</v>
      </c>
      <c r="DF103" s="267">
        <f>INDEX($AO$101:$BB$115,MATCH($CW103,$L$101:$L$115,0),MATCH(DF$102,$AO$102:$BB$102,0))/INDEX(고양시_재차인원!$D$4:$H$35,MATCH("고양시",고양시_재차인원!$B$4:$B$35,0),MATCH($DF$101,고양시_재차인원!$D$4:$H$4,0))</f>
        <v>7.7687819127386666</v>
      </c>
      <c r="DG103" s="267">
        <f>INDEX($AO$101:$BB$115,MATCH($CW103,$L$101:$L$115,0),MATCH(DG$102,$AO$102:$BB$102,0))/INDEX(고양시_재차인원!$K$4:$O$20,MATCH("경기도",고양시_재차인원!$K$4:$K$20,0),MATCH(DG$102,고양시_재차인원!$K$4:$O$4,0))</f>
        <v>7.4589833664368346E-5</v>
      </c>
      <c r="DH103" s="267">
        <f>INDEX($AO$101:$BB$115,MATCH($CW103,$L$101:$L$115,0),MATCH(DH$102,$AO$102:$BB$102,0))/INDEX(고양시_재차인원!$K$4:$O$20,MATCH("경기도",고양시_재차인원!$K$4:$K$20,0),MATCH(DH$102,고양시_재차인원!$K$4:$O$4,0))</f>
        <v>2.0735973758694404E-2</v>
      </c>
      <c r="DI103" s="267">
        <f>INDEX($AO$101:$BB$115,MATCH($CW103,$L$101:$L$115,0),MATCH(DI$102,$AO$102:$BB$102,0))/INDEX(고양시_재차인원!$D$4:$H$35,MATCH("고양시",고양시_재차인원!$B$4:$B$35,0),MATCH($DF$101,고양시_재차인원!$D$4:$H$4,0))</f>
        <v>0.49886713537041838</v>
      </c>
      <c r="DJ103" s="267">
        <f>INDEX($BC$101:$BP$115,MATCH($CW103,$L$101:$L$115,0),MATCH(DJ$102,$BC$102:$BP$102,0))/INDEX(고양시_재차인원!$D$4:$H$35,MATCH("고양시",고양시_재차인원!$B$4:$B$35,0),MATCH($DJ$101,고양시_재차인원!$D$4:$H$4,0))</f>
        <v>2.0138417719960725E-2</v>
      </c>
      <c r="DK103" s="267">
        <f>INDEX($BC$101:$BP$115,MATCH($CW103,$L$101:$L$115,0),MATCH(DK$102,$BC$102:$BP$102,0))/INDEX(고양시_재차인원!$K$4:$O$20,MATCH("경기도",고양시_재차인원!$K$4:$K$20,0),MATCH(DK$102,고양시_재차인원!$K$4:$O$4,0))</f>
        <v>2.022775150220166E-7</v>
      </c>
      <c r="DL103" s="267">
        <f>INDEX($BC$101:$BP$115,MATCH($CW103,$L$101:$L$115,0),MATCH(DL$102,$BC$102:$BP$102,0))/INDEX(고양시_재차인원!$K$4:$O$20,MATCH("경기도",고양시_재차인원!$K$4:$K$20,0),MATCH(DL$102,고양시_재차인원!$K$4:$O$4,0))</f>
        <v>5.6233149176120623E-5</v>
      </c>
      <c r="DM103" s="267">
        <f>INDEX($BC$101:$BP$115,MATCH($CW103,$L$101:$L$115,0),MATCH(DM$102,$BC$102:$BP$102,0))/INDEX(고양시_재차인원!$D$4:$H$35,MATCH("고양시",고양시_재차인원!$B$4:$B$35,0),MATCH($DJ$101,고양시_재차인원!$D$4:$H$4,0))</f>
        <v>1.293175026882445E-3</v>
      </c>
      <c r="DN103" s="267">
        <f>INDEX($BQ$101:$CD$115,MATCH($CW103,$L$101:$L$115,0),MATCH(DN$102,$BQ$102:$CD$102,0))/INDEX(고양시_재차인원!$D$4:$H$35,MATCH("고양시",고양시_재차인원!$B$4:$B$35,0),MATCH($DN$101,고양시_재차인원!$D$4:$H$4,0))</f>
        <v>6.1587330381678525E-2</v>
      </c>
      <c r="DO103" s="267">
        <f>INDEX($BQ$101:$CD$115,MATCH($CW103,$L$101:$L$115,0),MATCH(DO$102,$BQ$102:$CD$102,0))/INDEX(고양시_재차인원!$K$4:$O$20,MATCH("경기도",고양시_재차인원!$K$4:$K$20,0),MATCH(DO$102,고양시_재차인원!$K$4:$O$4,0))</f>
        <v>5.7311962589571087E-7</v>
      </c>
      <c r="DP103" s="267">
        <f>INDEX($BQ$101:$CD$115,MATCH($CW103,$L$101:$L$115,0),MATCH(DP$102,$BQ$102:$CD$102,0))/INDEX(고양시_재차인원!$K$4:$O$20,MATCH("경기도",고양시_재차인원!$K$4:$K$20,0),MATCH(DP$102,고양시_재차인원!$K$4:$O$4,0))</f>
        <v>1.593272559990076E-4</v>
      </c>
      <c r="DQ103" s="267">
        <f>INDEX($BQ$101:$CD$115,MATCH($CW103,$L$101:$L$115,0),MATCH(DQ$102,$BQ$102:$CD$102,0))/INDEX(고양시_재차인원!$D$4:$H$35,MATCH("고양시",고양시_재차인원!$B$4:$B$35,0),MATCH($DN$101,고양시_재차인원!$D$4:$H$4,0))</f>
        <v>3.9547892356510553E-3</v>
      </c>
      <c r="DR103" s="270">
        <f>CX103+DB103+DF103+DJ103+DN103</f>
        <v>195.60589164708236</v>
      </c>
      <c r="DS103" s="270">
        <f t="shared" ref="DS103:DU115" si="48">CY103+DC103+DG103+DK103+DO103</f>
        <v>1.9745488193469961E-3</v>
      </c>
      <c r="DT103" s="270">
        <f t="shared" si="48"/>
        <v>0.54892457177846476</v>
      </c>
      <c r="DU103" s="270">
        <f t="shared" si="48"/>
        <v>12.560701526136267</v>
      </c>
      <c r="DW103" s="278"/>
      <c r="DX103" s="278" t="s">
        <v>12</v>
      </c>
      <c r="DY103" s="281">
        <f>DR103+DU103</f>
        <v>208.16659317321862</v>
      </c>
      <c r="DZ103" s="281">
        <f>DS103+DT103</f>
        <v>0.55089912059781176</v>
      </c>
      <c r="EB103" s="278"/>
      <c r="EC103" s="278" t="s">
        <v>12</v>
      </c>
      <c r="ED103" s="281">
        <f>DY103</f>
        <v>208.16659317321862</v>
      </c>
      <c r="EE103" s="281">
        <f t="shared" ref="EE103:EE115" si="49">DZ103</f>
        <v>0.55089912059781176</v>
      </c>
      <c r="EL103" s="306" t="s">
        <v>12</v>
      </c>
      <c r="EM103" s="306" t="s">
        <v>568</v>
      </c>
      <c r="EN103" s="306">
        <v>8014.2473</v>
      </c>
      <c r="EO103" s="306">
        <v>0.11966025175817722</v>
      </c>
      <c r="EP103" s="307">
        <v>849101</v>
      </c>
      <c r="EQ103" s="308">
        <f>VLOOKUP($EL103,$EC$102:$EE$114,2,FALSE)*$EO103</f>
        <v>24.909266946749394</v>
      </c>
      <c r="ER103" s="308">
        <f>VLOOKUP($EL103,$EC$102:$EE$114,3,FALSE)*$EO103</f>
        <v>6.5920727464092596E-2</v>
      </c>
      <c r="ET103" s="420" t="s">
        <v>12</v>
      </c>
      <c r="EU103" s="420" t="s">
        <v>568</v>
      </c>
      <c r="EV103" s="420">
        <v>8014.2473</v>
      </c>
      <c r="EW103" s="420">
        <v>0.11966025175817722</v>
      </c>
      <c r="EX103" s="421">
        <v>849101</v>
      </c>
      <c r="EY103" s="422">
        <f>EQ103*$AW$11*(1-$AZ$7)</f>
        <v>24.199352838767037</v>
      </c>
      <c r="EZ103" s="422">
        <f t="shared" ref="EZ103:EZ136" si="50">ER103*$AW$11*(1-$AZ$7)</f>
        <v>6.4041986731365963E-2</v>
      </c>
      <c r="FA103">
        <v>0</v>
      </c>
      <c r="FD103" s="306" t="s">
        <v>12</v>
      </c>
      <c r="FE103" s="306" t="s">
        <v>568</v>
      </c>
      <c r="FF103" s="306">
        <v>8014.2473</v>
      </c>
      <c r="FG103" s="306">
        <v>0.11966025175817722</v>
      </c>
      <c r="FH103" s="307">
        <v>849101</v>
      </c>
      <c r="FI103" s="308">
        <f>EY103*$FB$95</f>
        <v>24.199352838767037</v>
      </c>
      <c r="FJ103" s="308">
        <f t="shared" ref="FJ103:FJ136" si="51">EZ103*$FB$95</f>
        <v>6.4041986731365963E-2</v>
      </c>
      <c r="FL103" s="101"/>
      <c r="FM103" s="101"/>
      <c r="FN103" s="101"/>
      <c r="FO103" s="101"/>
      <c r="FP103" s="374"/>
      <c r="FQ103" s="404"/>
      <c r="FR103" s="404"/>
    </row>
    <row r="104" spans="1:174" ht="25">
      <c r="A104" s="205"/>
      <c r="B104" s="205" t="s">
        <v>668</v>
      </c>
      <c r="C104" s="400">
        <f>$AB62*KTDB_TripDistribution_2025!L$12 * (1+KTDB_발생량도착량_증가율!$C$8*2)</f>
        <v>1356.8032749416643</v>
      </c>
      <c r="D104" s="400">
        <f>$AB62*KTDB_TripDistribution_2025!M$12 * (1+KTDB_발생량도착량_증가율!$C$8*2)</f>
        <v>10550.683201232807</v>
      </c>
      <c r="E104" s="400">
        <f>$AB62*KTDB_TripDistribution_2025!N$12 * (1+KTDB_발생량도착량_증가율!$C$8*2)</f>
        <v>467.66275834373533</v>
      </c>
      <c r="F104" s="400">
        <f>$AB62*KTDB_TripDistribution_2025!O$12 * (1+KTDB_발생량도착량_증가율!$C$8*2)</f>
        <v>1.2682379887287782</v>
      </c>
      <c r="G104" s="400">
        <f>$AB62*KTDB_TripDistribution_2025!P$12 * (1+KTDB_발생량도착량_증가율!$C$8*2)</f>
        <v>3.5933409680648545</v>
      </c>
      <c r="H104" s="400">
        <f>$AB62*KTDB_TripDistribution_2025!Q$12 * (1+KTDB_발생량도착량_증가율!$C$8*2)</f>
        <v>12380.010813474999</v>
      </c>
      <c r="J104" s="230">
        <f t="shared" si="46"/>
        <v>12380.010813475001</v>
      </c>
      <c r="K104" s="206"/>
      <c r="L104" s="206" t="s">
        <v>668</v>
      </c>
      <c r="M104" s="206">
        <f>INDEX($A$102:$H$115,MATCH($L104,$B$102:$B$115,0),MATCH($M$101,$A$102:$H$102,0))*고양시_Modal_split!C$3 * 0.01</f>
        <v>3.7990491698366595</v>
      </c>
      <c r="N104" s="206">
        <f>INDEX($A$102:$H$115,MATCH($L104,$B$102:$B$115,0),MATCH($M$101,$A$102:$H$102,0))*고양시_Modal_split!D$3 * 0.01</f>
        <v>638.10458020506474</v>
      </c>
      <c r="O104" s="206">
        <f>INDEX($A$102:$H$115,MATCH($L104,$B$102:$B$115,0),MATCH($M$101,$A$102:$H$102,0))*고양시_Modal_split!E$3 * 0.01</f>
        <v>77.202106344180692</v>
      </c>
      <c r="P104" s="206">
        <f>INDEX($A$102:$H$115,MATCH($L104,$B$102:$B$115,0),MATCH($M$101,$A$102:$H$102,0))*고양시_Modal_split!F$3 * 0.01</f>
        <v>124.41886031215061</v>
      </c>
      <c r="Q104" s="206">
        <f>INDEX($A$102:$H$115,MATCH($L104,$B$102:$B$115,0),MATCH($M$101,$A$102:$H$102,0))*고양시_Modal_split!G$3 * 0.01</f>
        <v>12.482590129463311</v>
      </c>
      <c r="R104" s="206">
        <f>INDEX($A$102:$H$115,MATCH($L104,$B$102:$B$115,0),MATCH($M$101,$A$102:$H$102,0))*고양시_Modal_split!H$3 * 0.01</f>
        <v>0.13568032749416645</v>
      </c>
      <c r="S104" s="206">
        <f>INDEX($A$102:$H$115,MATCH($L104,$B$102:$B$115,0),MATCH($M$101,$A$102:$H$102,0))*고양시_Modal_split!I$3 * 0.01</f>
        <v>37.719131043378269</v>
      </c>
      <c r="T104" s="206">
        <f>INDEX($A$102:$H$115,MATCH($L104,$B$102:$B$115,0),MATCH($M$101,$A$102:$H$102,0))*고양시_Modal_split!J$3 * 0.01</f>
        <v>413.01091689224262</v>
      </c>
      <c r="U104" s="206">
        <f>INDEX($A$102:$H$115,MATCH($L104,$B$102:$B$115,0),MATCH($M$101,$A$102:$H$102,0))*고양시_Modal_split!K$3 * 0.01</f>
        <v>2.0352049124124965</v>
      </c>
      <c r="V104" s="206">
        <f>INDEX($A$102:$H$115,MATCH($L104,$B$102:$B$115,0),MATCH($M$101,$A$102:$H$102,0))*고양시_Modal_split!L$3 * 0.01</f>
        <v>40.975458903238263</v>
      </c>
      <c r="W104" s="206">
        <f>INDEX($A$102:$H$115,MATCH($L104,$B$102:$B$115,0),MATCH($M$101,$A$102:$H$102,0))*고양시_Modal_split!M$3 * 0.01</f>
        <v>3.1206475323658278</v>
      </c>
      <c r="X104" s="206">
        <f>INDEX($A$102:$H$115,MATCH($L104,$B$102:$B$115,0),MATCH($M$101,$A$102:$H$102,0))*고양시_Modal_split!N$3 * 0.01</f>
        <v>1.3568032749416645</v>
      </c>
      <c r="Y104" s="206">
        <f>INDEX($A$102:$H$115,MATCH($L104,$B$102:$B$115,0),MATCH($M$101,$A$102:$H$102,0))*고양시_Modal_split!O$3 * 0.01</f>
        <v>2.4422458948949957</v>
      </c>
      <c r="Z104" s="209">
        <f>INDEX($A$102:$H$115,MATCH($L104,$B$102:$B$115,0),MATCH($M$101,$A$102:$H$102,0))*고양시_Modal_split!P$3 * 0.01</f>
        <v>1356.8032749416645</v>
      </c>
      <c r="AA104" s="207">
        <f>INDEX($A$102:$H$115,MATCH($L104,$B$102:$B$115,0),MATCH($AA$101,$A$102:$H$102,0))*고양시_Modal_split!C$3 * 0.01</f>
        <v>29.541912963451857</v>
      </c>
      <c r="AB104" s="207">
        <f>INDEX($A$102:$H$115,MATCH($L104,$B$102:$B$115,0),MATCH($AA$101,$A$102:$H$102,0))*고양시_Modal_split!D$3 * 0.01</f>
        <v>4961.9863095397895</v>
      </c>
      <c r="AC104" s="207">
        <f>INDEX($A$102:$H$115,MATCH($L104,$B$102:$B$115,0),MATCH($AA$101,$A$102:$H$102,0))*고양시_Modal_split!E$3 * 0.01</f>
        <v>600.3338741501467</v>
      </c>
      <c r="AD104" s="207">
        <f>INDEX($A$102:$H$115,MATCH($L104,$B$102:$B$115,0),MATCH($AA$101,$A$102:$H$102,0))*고양시_Modal_split!F$3 * 0.01</f>
        <v>967.4976495530484</v>
      </c>
      <c r="AE104" s="207">
        <f>INDEX($A$102:$H$115,MATCH($L104,$B$102:$B$115,0),MATCH($AA$101,$A$102:$H$102,0))*고양시_Modal_split!G$3 * 0.01</f>
        <v>97.066285451341813</v>
      </c>
      <c r="AF104" s="207">
        <f>INDEX($A$102:$H$115,MATCH($L104,$B$102:$B$115,0),MATCH($AA$101,$A$102:$H$102,0))*고양시_Modal_split!H$3 * 0.01</f>
        <v>1.0550683201232807</v>
      </c>
      <c r="AG104" s="207">
        <f>INDEX($A$102:$H$115,MATCH($L104,$B$102:$B$115,0),MATCH($AA$101,$A$102:$H$102,0))*고양시_Modal_split!I$3 * 0.01</f>
        <v>293.30899299427205</v>
      </c>
      <c r="AH104" s="207">
        <f>INDEX($A$102:$H$115,MATCH($L104,$B$102:$B$115,0),MATCH($AA$101,$A$102:$H$102,0))*고양시_Modal_split!J$3 * 0.01</f>
        <v>3211.6279664552667</v>
      </c>
      <c r="AI104" s="207">
        <f>INDEX($A$102:$H$115,MATCH($L104,$B$102:$B$115,0),MATCH($AA$101,$A$102:$H$102,0))*고양시_Modal_split!K$3 * 0.01</f>
        <v>15.82602480184921</v>
      </c>
      <c r="AJ104" s="207">
        <f>INDEX($A$102:$H$115,MATCH($L104,$B$102:$B$115,0),MATCH($AA$101,$A$102:$H$102,0))*고양시_Modal_split!L$3 * 0.01</f>
        <v>318.63063267723078</v>
      </c>
      <c r="AK104" s="207">
        <f>INDEX($A$102:$H$115,MATCH($L104,$B$102:$B$115,0),MATCH($AA$101,$A$102:$H$102,0))*고양시_Modal_split!M$3 * 0.01</f>
        <v>24.266571362835453</v>
      </c>
      <c r="AL104" s="207">
        <f>INDEX($A$102:$H$115,MATCH($L104,$B$102:$B$115,0),MATCH($AA$101,$A$102:$H$102,0))*고양시_Modal_split!N$3 * 0.01</f>
        <v>10.550683201232808</v>
      </c>
      <c r="AM104" s="207">
        <f>INDEX($A$102:$H$115,MATCH($L104,$B$102:$B$115,0),MATCH($AA$101,$A$102:$H$102,0))*고양시_Modal_split!O$3 * 0.01</f>
        <v>18.991229762219053</v>
      </c>
      <c r="AN104" s="207">
        <f>INDEX($A$102:$H$115,MATCH($L104,$B$102:$B$115,0),MATCH($AA$101,$A$102:$H$102,0))*고양시_Modal_split!P$3 * 0.01</f>
        <v>10550.683201232807</v>
      </c>
      <c r="AO104" s="303">
        <f>INDEX($A$102:$H$115,MATCH($L104,$B$102:$B$115,0),MATCH($AO$101,$A$102:$H$102,0))*고양시_Modal_split!C$3 * 0.01</f>
        <v>1.3094557233624589</v>
      </c>
      <c r="AP104" s="303">
        <f>INDEX($A$102:$H$115,MATCH($L104,$B$102:$B$115,0),MATCH($AO$101,$A$102:$H$102,0))*고양시_Modal_split!D$3 * 0.01</f>
        <v>219.94179524905874</v>
      </c>
      <c r="AQ104" s="303">
        <f>INDEX($A$102:$H$115,MATCH($L104,$B$102:$B$115,0),MATCH($AO$101,$A$102:$H$102,0))*고양시_Modal_split!E$3 * 0.01</f>
        <v>26.610010949758539</v>
      </c>
      <c r="AR104" s="303">
        <f>INDEX($A$102:$H$115,MATCH($L104,$B$102:$B$115,0),MATCH($AO$101,$A$102:$H$102,0))*고양시_Modal_split!F$3 * 0.01</f>
        <v>42.884674940120533</v>
      </c>
      <c r="AS104" s="303">
        <f>INDEX($A$102:$H$115,MATCH($L104,$B$102:$B$115,0),MATCH($AO$101,$A$102:$H$102,0))*고양시_Modal_split!G$3 * 0.01</f>
        <v>4.3024973767623651</v>
      </c>
      <c r="AT104" s="303">
        <f>INDEX($A$102:$H$115,MATCH($L104,$B$102:$B$115,0),MATCH($AO$101,$A$102:$H$102,0))*고양시_Modal_split!H$3 * 0.01</f>
        <v>4.6766275834373539E-2</v>
      </c>
      <c r="AU104" s="303">
        <f>INDEX($A$102:$H$115,MATCH($L104,$B$102:$B$115,0),MATCH($AO$101,$A$102:$H$102,0))*고양시_Modal_split!I$3 * 0.01</f>
        <v>13.001024681955842</v>
      </c>
      <c r="AV104" s="303">
        <f>INDEX($A$102:$H$115,MATCH($L104,$B$102:$B$115,0),MATCH($AO$101,$A$102:$H$102,0))*고양시_Modal_split!J$3 * 0.01</f>
        <v>142.35654363983303</v>
      </c>
      <c r="AW104" s="303">
        <f>INDEX($A$102:$H$115,MATCH($L104,$B$102:$B$115,0),MATCH($AO$101,$A$102:$H$102,0))*고양시_Modal_split!K$3 * 0.01</f>
        <v>0.70149413751560308</v>
      </c>
      <c r="AX104" s="303">
        <f>INDEX($A$102:$H$115,MATCH($L104,$B$102:$B$115,0),MATCH($AO$101,$A$102:$H$102,0))*고양시_Modal_split!L$3 * 0.01</f>
        <v>14.123415301980808</v>
      </c>
      <c r="AY104" s="303">
        <f>INDEX($A$102:$H$115,MATCH($L104,$B$102:$B$115,0),MATCH($AO$101,$A$102:$H$102,0))*고양시_Modal_split!M$3 * 0.01</f>
        <v>1.0756243441905913</v>
      </c>
      <c r="AZ104" s="303">
        <f>INDEX($A$102:$H$115,MATCH($L104,$B$102:$B$115,0),MATCH($AO$101,$A$102:$H$102,0))*고양시_Modal_split!N$3 * 0.01</f>
        <v>0.46766275834373539</v>
      </c>
      <c r="BA104" s="207">
        <f>INDEX($A$102:$H$115,MATCH($L104,$B$102:$B$115,0),MATCH($AO$101,$A$102:$H$102,0))*고양시_Modal_split!O$3 * 0.01</f>
        <v>0.84179296501872358</v>
      </c>
      <c r="BB104" s="207">
        <f>INDEX($A$102:$H$115,MATCH($L104,$B$102:$B$115,0),MATCH($AO$101,$A$102:$H$102,0))*고양시_Modal_split!P$3 * 0.01</f>
        <v>467.66275834373533</v>
      </c>
      <c r="BC104" s="207">
        <f>INDEX($A$102:$H$115,MATCH($L104,$B$102:$B$115,0),MATCH($BC$101,$A$102:$H$102,0))*고양시_Modal_split!C$3 * 0.01</f>
        <v>3.5510663684405787E-3</v>
      </c>
      <c r="BD104" s="207">
        <f>INDEX($A$102:$H$115,MATCH($L104,$B$102:$B$115,0),MATCH($BC$101,$A$102:$H$102,0))*고양시_Modal_split!D$3 * 0.01</f>
        <v>0.59645232609914445</v>
      </c>
      <c r="BE104" s="207">
        <f>INDEX($A$102:$H$115,MATCH($L104,$B$102:$B$115,0),MATCH($BC$101,$A$102:$H$102,0))*고양시_Modal_split!E$3 * 0.01</f>
        <v>7.2162741558667476E-2</v>
      </c>
      <c r="BF104" s="207">
        <f>INDEX($A$102:$H$115,MATCH($L104,$B$102:$B$115,0),MATCH($BC$101,$A$102:$H$102,0))*고양시_Modal_split!F$3 * 0.01</f>
        <v>0.11629742356642897</v>
      </c>
      <c r="BG104" s="207">
        <f>INDEX($A$102:$H$115,MATCH($L104,$B$102:$B$115,0),MATCH($BC$101,$A$102:$H$102,0))*고양시_Modal_split!G$3 * 0.01</f>
        <v>1.1667789496304759E-2</v>
      </c>
      <c r="BH104" s="207">
        <f>INDEX($A$102:$H$115,MATCH($L104,$B$102:$B$115,0),MATCH($BC$101,$A$102:$H$102,0))*고양시_Modal_split!H$3 * 0.01</f>
        <v>1.2682379887287782E-4</v>
      </c>
      <c r="BI104" s="207">
        <f>INDEX($A$102:$H$115,MATCH($L104,$B$102:$B$115,0),MATCH($BC$101,$A$102:$H$102,0))*고양시_Modal_split!I$3 * 0.01</f>
        <v>3.5257016086660035E-2</v>
      </c>
      <c r="BJ104" s="207">
        <f>INDEX($A$102:$H$115,MATCH($L104,$B$102:$B$115,0),MATCH($BC$101,$A$102:$H$102,0))*고양시_Modal_split!J$3 * 0.01</f>
        <v>0.38605164376904016</v>
      </c>
      <c r="BK104" s="207">
        <f>INDEX($A$102:$H$115,MATCH($L104,$B$102:$B$115,0),MATCH($BC$101,$A$102:$H$102,0))*고양시_Modal_split!K$3 * 0.01</f>
        <v>1.9023569830931672E-3</v>
      </c>
      <c r="BL104" s="207">
        <f>INDEX($A$102:$H$115,MATCH($L104,$B$102:$B$115,0),MATCH($BC$101,$A$102:$H$102,0))*고양시_Modal_split!L$3 * 0.01</f>
        <v>3.8300787259609108E-2</v>
      </c>
      <c r="BM104" s="207">
        <f>INDEX($A$102:$H$115,MATCH($L104,$B$102:$B$115,0),MATCH($BC$101,$A$102:$H$102,0))*고양시_Modal_split!M$3 * 0.01</f>
        <v>2.9169473740761898E-3</v>
      </c>
      <c r="BN104" s="207">
        <f>INDEX($A$102:$H$115,MATCH($L104,$B$102:$B$115,0),MATCH($BC$101,$A$102:$H$102,0))*고양시_Modal_split!N$3 * 0.01</f>
        <v>1.2682379887287785E-3</v>
      </c>
      <c r="BO104" s="207">
        <f>INDEX($A$102:$H$115,MATCH($L104,$B$102:$B$115,0),MATCH($BC$101,$A$102:$H$102,0))*고양시_Modal_split!O$3 * 0.01</f>
        <v>2.2828283797118008E-3</v>
      </c>
      <c r="BP104" s="207">
        <f>INDEX($A$102:$H$115,MATCH($L104,$B$102:$B$115,0),MATCH($BC$101,$A$102:$H$102,0))*고양시_Modal_split!P$3 * 0.01</f>
        <v>1.2682379887287782</v>
      </c>
      <c r="BQ104" s="207">
        <f>INDEX($A$102:$H$115,MATCH($L104,$B$102:$B$115,0),MATCH($BQ$101,$A$102:$H$102,0))*고양시_Modal_split!C$3 * 0.01</f>
        <v>1.0061354710581592E-2</v>
      </c>
      <c r="BR104" s="207">
        <f>INDEX($A$102:$H$115,MATCH($L104,$B$102:$B$115,0),MATCH($BQ$101,$A$102:$H$102,0))*고양시_Modal_split!D$3 * 0.01</f>
        <v>1.6899482572809013</v>
      </c>
      <c r="BS104" s="207">
        <f>INDEX($A$102:$H$115,MATCH($L104,$B$102:$B$115,0),MATCH($BQ$101,$A$102:$H$102,0))*고양시_Modal_split!E$3 * 0.01</f>
        <v>0.2044611010828902</v>
      </c>
      <c r="BT104" s="207">
        <f>INDEX($A$102:$H$115,MATCH($L104,$B$102:$B$115,0),MATCH($BQ$101,$A$102:$H$102,0))*고양시_Modal_split!F$3 * 0.01</f>
        <v>0.32950936677154713</v>
      </c>
      <c r="BU104" s="207">
        <f>INDEX($A$102:$H$115,MATCH($L104,$B$102:$B$115,0),MATCH($BQ$101,$A$102:$H$102,0))*고양시_Modal_split!G$3 * 0.01</f>
        <v>3.3058736906196658E-2</v>
      </c>
      <c r="BV104" s="207">
        <f>INDEX($A$102:$H$115,MATCH($L104,$B$102:$B$115,0),MATCH($BQ$101,$A$102:$H$102,0))*고양시_Modal_split!H$3 * 0.01</f>
        <v>3.5933409680648546E-4</v>
      </c>
      <c r="BW104" s="207">
        <f>INDEX($A$102:$H$115,MATCH($L104,$B$102:$B$115,0),MATCH($BQ$101,$A$102:$H$102,0))*고양시_Modal_split!I$3 * 0.01</f>
        <v>9.9894878912202945E-2</v>
      </c>
      <c r="BX104" s="207">
        <f>INDEX($A$102:$H$115,MATCH($L104,$B$102:$B$115,0),MATCH($BQ$101,$A$102:$H$102,0))*고양시_Modal_split!J$3 * 0.01</f>
        <v>1.0938129906789418</v>
      </c>
      <c r="BY104" s="207">
        <f>INDEX($A$102:$H$115,MATCH($L104,$B$102:$B$115,0),MATCH($BQ$101,$A$102:$H$102,0))*고양시_Modal_split!K$3 * 0.01</f>
        <v>5.3900114520972825E-3</v>
      </c>
      <c r="BZ104" s="207">
        <f>INDEX($A$102:$H$115,MATCH($L104,$B$102:$B$115,0),MATCH($BQ$101,$A$102:$H$102,0))*고양시_Modal_split!L$3 * 0.01</f>
        <v>0.1085188972355586</v>
      </c>
      <c r="CA104" s="207">
        <f>INDEX($A$102:$H$115,MATCH($L104,$B$102:$B$115,0),MATCH($BQ$101,$A$102:$H$102,0))*고양시_Modal_split!M$3 * 0.01</f>
        <v>8.2646842265491644E-3</v>
      </c>
      <c r="CB104" s="207">
        <f>INDEX($A$102:$H$115,MATCH($L104,$B$102:$B$115,0),MATCH($BQ$101,$A$102:$H$102,0))*고양시_Modal_split!N$3 * 0.01</f>
        <v>3.5933409680648548E-3</v>
      </c>
      <c r="CC104" s="207">
        <f>INDEX($A$102:$H$115,MATCH($L104,$B$102:$B$115,0),MATCH($BQ$101,$A$102:$H$102,0))*고양시_Modal_split!O$3 * 0.01</f>
        <v>6.4680137425167381E-3</v>
      </c>
      <c r="CD104" s="207">
        <f>INDEX($A$102:$H$115,MATCH($L104,$B$102:$B$115,0),MATCH($BQ$101,$A$102:$H$102,0))*고양시_Modal_split!P$3 * 0.01</f>
        <v>3.5933409680648545</v>
      </c>
      <c r="CE104" s="304">
        <f t="shared" ref="CE104:CE115" si="52">M104+AA104+AO104+BC104+BQ104</f>
        <v>34.664030277729992</v>
      </c>
      <c r="CF104" s="304">
        <f t="shared" si="47"/>
        <v>5822.3190855772928</v>
      </c>
      <c r="CG104" s="304">
        <f t="shared" si="47"/>
        <v>704.42261528672759</v>
      </c>
      <c r="CH104" s="304">
        <f t="shared" si="47"/>
        <v>1135.2469915956576</v>
      </c>
      <c r="CI104" s="304">
        <f t="shared" si="47"/>
        <v>113.89609948396998</v>
      </c>
      <c r="CJ104" s="304">
        <f t="shared" si="47"/>
        <v>1.2380010813475002</v>
      </c>
      <c r="CK104" s="304">
        <f t="shared" si="47"/>
        <v>344.164300614605</v>
      </c>
      <c r="CL104" s="304">
        <f t="shared" si="47"/>
        <v>3768.4752916217903</v>
      </c>
      <c r="CM104" s="304">
        <f t="shared" si="47"/>
        <v>18.570016220212501</v>
      </c>
      <c r="CN104" s="304">
        <f t="shared" si="47"/>
        <v>373.87632656694507</v>
      </c>
      <c r="CO104" s="304">
        <f t="shared" si="47"/>
        <v>28.474024870992494</v>
      </c>
      <c r="CP104" s="304">
        <f t="shared" si="47"/>
        <v>12.380010813475002</v>
      </c>
      <c r="CQ104" s="304">
        <f t="shared" si="47"/>
        <v>22.284019464255</v>
      </c>
      <c r="CR104" s="304">
        <f t="shared" si="47"/>
        <v>12380.010813475001</v>
      </c>
      <c r="CS104" s="305">
        <f t="shared" ref="CS104:CS115" si="53">H104-CR104</f>
        <v>0</v>
      </c>
      <c r="CV104" s="265"/>
      <c r="CW104" s="265" t="s">
        <v>668</v>
      </c>
      <c r="CX104" s="267">
        <f>INDEX($M$101:$Z$115,MATCH($CW104,$L$101:$L$115,0),MATCH(CX$102,$M$102:$Z$102,0))/INDEX(고양시_재차인원!$D$4:$H$35,MATCH("고양시",고양시_재차인원!$B$4:$B$35,0),MATCH($CX$101,고양시_재차인원!$D$4:$H$4,0))</f>
        <v>569.7362323259506</v>
      </c>
      <c r="CY104" s="267">
        <f>INDEX($M$101:$Z$115,MATCH($CW104,$L$101:$L$115,0),MATCH(CY$102,$M$102:$Z$102,0))/INDEX(고양시_재차인원!$K$4:$O$20,MATCH("경기도",고양시_재차인원!$K$4:$K$20,0),MATCH(CY$102,고양시_재차인원!$K$4:$O$4,0))</f>
        <v>4.7127588570394742E-3</v>
      </c>
      <c r="CZ104" s="267">
        <f>INDEX($M$101:$Z$115,MATCH($CW104,$L$101:$L$115,0),MATCH(CZ$102,$M$102:$Z$102,0))/INDEX(고양시_재차인원!$K$4:$O$20,MATCH("경기도",고양시_재차인원!$K$4:$K$20,0),MATCH(CZ$102,고양시_재차인원!$K$4:$O$4,0))</f>
        <v>1.3101469622569737</v>
      </c>
      <c r="DA104" s="267">
        <f>INDEX($M$101:$Z$115,MATCH($CW104,$L$101:$L$115,0),MATCH(DA$102,$M$102:$Z$102,0))/INDEX(고양시_재차인원!$D$4:$H$35,MATCH("고양시",고양시_재차인원!$B$4:$B$35,0),MATCH($CX$101,고양시_재차인원!$D$4:$H$4,0))</f>
        <v>36.585231163605592</v>
      </c>
      <c r="DB104" s="267">
        <f>INDEX($AA$101:$AN$115,MATCH($CW104,$L$101:$L$115,0),MATCH(DB$102,$AA$102:$AN$102,0))/INDEX(고양시_재차인원!$D$4:$H$35,MATCH("고양시",고양시_재차인원!$B$4:$B$35,0),MATCH($DB$101,고양시_재차인원!$D$4:$H$4,0))</f>
        <v>3519.1392266239645</v>
      </c>
      <c r="DC104" s="267">
        <f>INDEX($AA$101:$AN$115,MATCH($CW104,$L$101:$L$115,0),MATCH(DC$102,$AA$102:$AN$102,0))/INDEX(고양시_재차인원!$K$4:$O$20,MATCH("경기도",고양시_재차인원!$K$4:$K$20,0),MATCH(DC$102,고양시_재차인원!$K$4:$O$4,0))</f>
        <v>3.6647041338078522E-2</v>
      </c>
      <c r="DD104" s="267">
        <f>INDEX($AA$101:$AN$115,MATCH($CW104,$L$101:$L$115,0),MATCH(DD$102,$AA$102:$AN$102,0))/INDEX(고양시_재차인원!$K$4:$O$20,MATCH("경기도",고양시_재차인원!$K$4:$K$20,0),MATCH(DD$102,고양시_재차인원!$K$4:$O$4,0))</f>
        <v>10.18787749198583</v>
      </c>
      <c r="DE104" s="267">
        <f>INDEX($AA$101:$AN$115,MATCH($CW104,$L$101:$L$115,0),MATCH(DE$102,$AA$102:$AN$102,0))/INDEX(고양시_재차인원!$D$4:$H$35,MATCH("고양시",고양시_재차인원!$B$4:$B$35,0),MATCH($DB$101,고양시_재차인원!$D$4:$H$4,0))</f>
        <v>225.97917211151119</v>
      </c>
      <c r="DF104" s="267">
        <f>INDEX($AO$101:$BB$115,MATCH($CW104,$L$101:$L$115,0),MATCH(DF$102,$AO$102:$BB$102,0))/INDEX(고양시_재차인원!$D$4:$H$35,MATCH("고양시",고양시_재차인원!$B$4:$B$35,0),MATCH($DF$101,고양시_재차인원!$D$4:$H$4,0))</f>
        <v>169.1859963454298</v>
      </c>
      <c r="DG104" s="267">
        <f>INDEX($AO$101:$BB$115,MATCH($CW104,$L$101:$L$115,0),MATCH(DG$102,$AO$102:$BB$102,0))/INDEX(고양시_재차인원!$K$4:$O$20,MATCH("경기도",고양시_재차인원!$K$4:$K$20,0),MATCH(DG$102,고양시_재차인원!$K$4:$O$4,0))</f>
        <v>1.6243930473905364E-3</v>
      </c>
      <c r="DH104" s="267">
        <f>INDEX($AO$101:$BB$115,MATCH($CW104,$L$101:$L$115,0),MATCH(DH$102,$AO$102:$BB$102,0))/INDEX(고양시_재차인원!$K$4:$O$20,MATCH("경기도",고양시_재차인원!$K$4:$K$20,0),MATCH(DH$102,고양시_재차인원!$K$4:$O$4,0))</f>
        <v>0.45158126717456903</v>
      </c>
      <c r="DI104" s="267">
        <f>INDEX($AO$101:$BB$115,MATCH($CW104,$L$101:$L$115,0),MATCH(DI$102,$AO$102:$BB$102,0))/INDEX(고양시_재차인원!$D$4:$H$35,MATCH("고양시",고양시_재차인원!$B$4:$B$35,0),MATCH($DF$101,고양시_재차인원!$D$4:$H$4,0))</f>
        <v>10.864165616908313</v>
      </c>
      <c r="DJ104" s="267">
        <f>INDEX($BC$101:$BP$115,MATCH($CW104,$L$101:$L$115,0),MATCH(DJ$102,$BC$102:$BP$102,0))/INDEX(고양시_재차인원!$D$4:$H$35,MATCH("고양시",고양시_재차인원!$B$4:$B$35,0),MATCH($DJ$101,고양시_재차인원!$D$4:$H$4,0))</f>
        <v>0.43856788683760617</v>
      </c>
      <c r="DK104" s="267">
        <f>INDEX($BC$101:$BP$115,MATCH($CW104,$L$101:$L$115,0),MATCH(DK$102,$BC$102:$BP$102,0))/INDEX(고양시_재차인원!$K$4:$O$20,MATCH("경기도",고양시_재차인원!$K$4:$K$20,0),MATCH(DK$102,고양시_재차인원!$K$4:$O$4,0))</f>
        <v>4.4051336878387569E-6</v>
      </c>
      <c r="DL104" s="267">
        <f>INDEX($BC$101:$BP$115,MATCH($CW104,$L$101:$L$115,0),MATCH(DL$102,$BC$102:$BP$102,0))/INDEX(고양시_재차인원!$K$4:$O$20,MATCH("경기도",고양시_재차인원!$K$4:$K$20,0),MATCH(DL$102,고양시_재차인원!$K$4:$O$4,0))</f>
        <v>1.2246271652191745E-3</v>
      </c>
      <c r="DM104" s="267">
        <f>INDEX($BC$101:$BP$115,MATCH($CW104,$L$101:$L$115,0),MATCH(DM$102,$BC$102:$BP$102,0))/INDEX(고양시_재차인원!$D$4:$H$35,MATCH("고양시",고양시_재차인원!$B$4:$B$35,0),MATCH($DJ$101,고양시_재차인원!$D$4:$H$4,0))</f>
        <v>2.8162343573241988E-2</v>
      </c>
      <c r="DN104" s="267">
        <f>INDEX($BQ$101:$CD$115,MATCH($CW104,$L$101:$L$115,0),MATCH(DN$102,$BQ$102:$CD$102,0))/INDEX(고양시_재차인원!$D$4:$H$35,MATCH("고양시",고양시_재차인원!$B$4:$B$35,0),MATCH($DN$101,고양시_재차인원!$D$4:$H$4,0))</f>
        <v>1.3412287756197629</v>
      </c>
      <c r="DO104" s="267">
        <f>INDEX($BQ$101:$CD$115,MATCH($CW104,$L$101:$L$115,0),MATCH(DO$102,$BQ$102:$CD$102,0))/INDEX(고양시_재차인원!$K$4:$O$20,MATCH("경기도",고양시_재차인원!$K$4:$K$20,0),MATCH(DO$102,고양시_재차인원!$K$4:$O$4,0))</f>
        <v>1.2481212115543086E-5</v>
      </c>
      <c r="DP104" s="267">
        <f>INDEX($BQ$101:$CD$115,MATCH($CW104,$L$101:$L$115,0),MATCH(DP$102,$BQ$102:$CD$102,0))/INDEX(고양시_재차인원!$K$4:$O$20,MATCH("경기도",고양시_재차인원!$K$4:$K$20,0),MATCH(DP$102,고양시_재차인원!$K$4:$O$4,0))</f>
        <v>3.4697769681209779E-3</v>
      </c>
      <c r="DQ104" s="267">
        <f>INDEX($BQ$101:$CD$115,MATCH($CW104,$L$101:$L$115,0),MATCH(DQ$102,$BQ$102:$CD$102,0))/INDEX(고양시_재차인원!$D$4:$H$35,MATCH("고양시",고양시_재차인원!$B$4:$B$35,0),MATCH($DN$101,고양시_재차인원!$D$4:$H$4,0))</f>
        <v>8.6126108917110006E-2</v>
      </c>
      <c r="DR104" s="270">
        <f t="shared" ref="DR104:DR115" si="54">CX104+DB104+DF104+DJ104+DN104</f>
        <v>4259.8412519578023</v>
      </c>
      <c r="DS104" s="270">
        <f t="shared" si="48"/>
        <v>4.3001079588311911E-2</v>
      </c>
      <c r="DT104" s="270">
        <f t="shared" si="48"/>
        <v>11.954300125550715</v>
      </c>
      <c r="DU104" s="270">
        <f t="shared" si="48"/>
        <v>273.54285734451543</v>
      </c>
      <c r="DW104" s="278"/>
      <c r="DX104" s="278" t="s">
        <v>668</v>
      </c>
      <c r="DY104" s="281">
        <f t="shared" ref="DY104:DY115" si="55">DR104+DU104</f>
        <v>4533.3841093023175</v>
      </c>
      <c r="DZ104" s="281">
        <f t="shared" ref="DZ104:DZ115" si="56">DS104+DT104</f>
        <v>11.997301205139026</v>
      </c>
      <c r="EB104" s="278"/>
      <c r="EC104" s="278" t="s">
        <v>668</v>
      </c>
      <c r="ED104" s="281">
        <f t="shared" ref="ED104:ED115" si="57">DY104</f>
        <v>4533.3841093023175</v>
      </c>
      <c r="EE104" s="281">
        <f t="shared" si="49"/>
        <v>11.997301205139026</v>
      </c>
      <c r="EL104" s="306" t="s">
        <v>12</v>
      </c>
      <c r="EM104" s="306" t="s">
        <v>611</v>
      </c>
      <c r="EN104" s="306">
        <v>5231.5074000000004</v>
      </c>
      <c r="EO104" s="306">
        <v>7.8111327130966773E-2</v>
      </c>
      <c r="EP104" s="307">
        <v>849102</v>
      </c>
      <c r="EQ104" s="308">
        <f t="shared" ref="EQ104:EQ137" si="58">VLOOKUP($EL104,$EC$102:$EE$114,2,FALSE)*$EO104</f>
        <v>16.260168857092154</v>
      </c>
      <c r="ER104" s="308">
        <f t="shared" ref="ER104:ER137" si="59">VLOOKUP($EL104,$EC$102:$EE$114,3,FALSE)*$EO104</f>
        <v>4.3031461425177588E-2</v>
      </c>
      <c r="ET104" s="420" t="s">
        <v>12</v>
      </c>
      <c r="EU104" s="420" t="s">
        <v>611</v>
      </c>
      <c r="EV104" s="420">
        <v>5231.5074000000004</v>
      </c>
      <c r="EW104" s="420">
        <v>7.8111327130966773E-2</v>
      </c>
      <c r="EX104" s="421">
        <v>849102</v>
      </c>
      <c r="EY104" s="422">
        <f t="shared" ref="EY104:EY136" si="60">EQ104*$AW$11*(1-$AZ$7)</f>
        <v>15.796754044665027</v>
      </c>
      <c r="EZ104" s="422">
        <f t="shared" si="50"/>
        <v>4.180506477456003E-2</v>
      </c>
      <c r="FA104">
        <v>0</v>
      </c>
      <c r="FD104" s="306" t="s">
        <v>12</v>
      </c>
      <c r="FE104" s="306" t="s">
        <v>611</v>
      </c>
      <c r="FF104" s="306">
        <v>5231.5074000000004</v>
      </c>
      <c r="FG104" s="306">
        <v>7.8111327130966773E-2</v>
      </c>
      <c r="FH104" s="307">
        <v>849102</v>
      </c>
      <c r="FI104" s="308">
        <f t="shared" ref="FI104:FI136" si="61">EY104*$FB$95</f>
        <v>15.796754044665027</v>
      </c>
      <c r="FJ104" s="308">
        <f t="shared" si="51"/>
        <v>4.180506477456003E-2</v>
      </c>
      <c r="FL104" s="101"/>
      <c r="FM104" s="101"/>
      <c r="FN104" s="101"/>
      <c r="FO104" s="101"/>
      <c r="FP104" s="374"/>
      <c r="FQ104" s="404"/>
      <c r="FR104" s="404"/>
    </row>
    <row r="105" spans="1:174" ht="25">
      <c r="A105" s="205"/>
      <c r="B105" s="205" t="s">
        <v>670</v>
      </c>
      <c r="C105" s="400">
        <f>$AB63*KTDB_TripDistribution_2025!L$12 * (1+KTDB_발생량도착량_증가율!$C$8*2)</f>
        <v>1019.8672042960173</v>
      </c>
      <c r="D105" s="400">
        <f>$AB63*KTDB_TripDistribution_2025!M$12 * (1+KTDB_발생량도착량_증가율!$C$8*2)</f>
        <v>7930.6233840841032</v>
      </c>
      <c r="E105" s="400">
        <f>$AB63*KTDB_TripDistribution_2025!N$12 * (1+KTDB_발생량도착량_증가율!$C$8*2)</f>
        <v>351.52768180478921</v>
      </c>
      <c r="F105" s="400">
        <f>$AB63*KTDB_TripDistribution_2025!O$12 * (1+KTDB_발생량도착량_증가율!$C$8*2)</f>
        <v>0.95329540828417758</v>
      </c>
      <c r="G105" s="400">
        <f>$AB63*KTDB_TripDistribution_2025!P$12 * (1+KTDB_발생량도착량_증가율!$C$8*2)</f>
        <v>2.7010036568051561</v>
      </c>
      <c r="H105" s="400">
        <f>$AB63*KTDB_TripDistribution_2025!Q$12 * (1+KTDB_발생량도착량_증가율!$C$8*2)</f>
        <v>9305.6725692500004</v>
      </c>
      <c r="J105" s="230">
        <f t="shared" si="46"/>
        <v>9305.6725692499986</v>
      </c>
      <c r="K105" s="206"/>
      <c r="L105" s="206" t="s">
        <v>670</v>
      </c>
      <c r="M105" s="206">
        <f>INDEX($A$102:$H$115,MATCH($L105,$B$102:$B$115,0),MATCH($M$101,$A$102:$H$102,0))*고양시_Modal_split!C$3 * 0.01</f>
        <v>2.8556281720288483</v>
      </c>
      <c r="N105" s="206">
        <f>INDEX($A$102:$H$115,MATCH($L105,$B$102:$B$115,0),MATCH($M$101,$A$102:$H$102,0))*고양시_Modal_split!D$3 * 0.01</f>
        <v>479.64354618041699</v>
      </c>
      <c r="O105" s="206">
        <f>INDEX($A$102:$H$115,MATCH($L105,$B$102:$B$115,0),MATCH($M$101,$A$102:$H$102,0))*고양시_Modal_split!E$3 * 0.01</f>
        <v>58.030443924443382</v>
      </c>
      <c r="P105" s="206">
        <f>INDEX($A$102:$H$115,MATCH($L105,$B$102:$B$115,0),MATCH($M$101,$A$102:$H$102,0))*고양시_Modal_split!F$3 * 0.01</f>
        <v>93.521822633944794</v>
      </c>
      <c r="Q105" s="206">
        <f>INDEX($A$102:$H$115,MATCH($L105,$B$102:$B$115,0),MATCH($M$101,$A$102:$H$102,0))*고양시_Modal_split!G$3 * 0.01</f>
        <v>9.3827782795233592</v>
      </c>
      <c r="R105" s="206">
        <f>INDEX($A$102:$H$115,MATCH($L105,$B$102:$B$115,0),MATCH($M$101,$A$102:$H$102,0))*고양시_Modal_split!H$3 * 0.01</f>
        <v>0.10198672042960175</v>
      </c>
      <c r="S105" s="206">
        <f>INDEX($A$102:$H$115,MATCH($L105,$B$102:$B$115,0),MATCH($M$101,$A$102:$H$102,0))*고양시_Modal_split!I$3 * 0.01</f>
        <v>28.35230827942928</v>
      </c>
      <c r="T105" s="206">
        <f>INDEX($A$102:$H$115,MATCH($L105,$B$102:$B$115,0),MATCH($M$101,$A$102:$H$102,0))*고양시_Modal_split!J$3 * 0.01</f>
        <v>310.44757698770769</v>
      </c>
      <c r="U105" s="206">
        <f>INDEX($A$102:$H$115,MATCH($L105,$B$102:$B$115,0),MATCH($M$101,$A$102:$H$102,0))*고양시_Modal_split!K$3 * 0.01</f>
        <v>1.5298008064440261</v>
      </c>
      <c r="V105" s="206">
        <f>INDEX($A$102:$H$115,MATCH($L105,$B$102:$B$115,0),MATCH($M$101,$A$102:$H$102,0))*고양시_Modal_split!L$3 * 0.01</f>
        <v>30.799989569739726</v>
      </c>
      <c r="W105" s="206">
        <f>INDEX($A$102:$H$115,MATCH($L105,$B$102:$B$115,0),MATCH($M$101,$A$102:$H$102,0))*고양시_Modal_split!M$3 * 0.01</f>
        <v>2.3456945698808398</v>
      </c>
      <c r="X105" s="206">
        <f>INDEX($A$102:$H$115,MATCH($L105,$B$102:$B$115,0),MATCH($M$101,$A$102:$H$102,0))*고양시_Modal_split!N$3 * 0.01</f>
        <v>1.0198672042960175</v>
      </c>
      <c r="Y105" s="206">
        <f>INDEX($A$102:$H$115,MATCH($L105,$B$102:$B$115,0),MATCH($M$101,$A$102:$H$102,0))*고양시_Modal_split!O$3 * 0.01</f>
        <v>1.8357609677328313</v>
      </c>
      <c r="Z105" s="209">
        <f>INDEX($A$102:$H$115,MATCH($L105,$B$102:$B$115,0),MATCH($M$101,$A$102:$H$102,0))*고양시_Modal_split!P$3 * 0.01</f>
        <v>1019.8672042960173</v>
      </c>
      <c r="AA105" s="207">
        <f>INDEX($A$102:$H$115,MATCH($L105,$B$102:$B$115,0),MATCH($AA$101,$A$102:$H$102,0))*고양시_Modal_split!C$3 * 0.01</f>
        <v>22.205745475435489</v>
      </c>
      <c r="AB105" s="207">
        <f>INDEX($A$102:$H$115,MATCH($L105,$B$102:$B$115,0),MATCH($AA$101,$A$102:$H$102,0))*고양시_Modal_split!D$3 * 0.01</f>
        <v>3729.7721775347536</v>
      </c>
      <c r="AC105" s="207">
        <f>INDEX($A$102:$H$115,MATCH($L105,$B$102:$B$115,0),MATCH($AA$101,$A$102:$H$102,0))*고양시_Modal_split!E$3 * 0.01</f>
        <v>451.25247055438547</v>
      </c>
      <c r="AD105" s="207">
        <f>INDEX($A$102:$H$115,MATCH($L105,$B$102:$B$115,0),MATCH($AA$101,$A$102:$H$102,0))*고양시_Modal_split!F$3 * 0.01</f>
        <v>727.23816432051228</v>
      </c>
      <c r="AE105" s="207">
        <f>INDEX($A$102:$H$115,MATCH($L105,$B$102:$B$115,0),MATCH($AA$101,$A$102:$H$102,0))*고양시_Modal_split!G$3 * 0.01</f>
        <v>72.961735133573754</v>
      </c>
      <c r="AF105" s="207">
        <f>INDEX($A$102:$H$115,MATCH($L105,$B$102:$B$115,0),MATCH($AA$101,$A$102:$H$102,0))*고양시_Modal_split!H$3 * 0.01</f>
        <v>0.79306233840841034</v>
      </c>
      <c r="AG105" s="207">
        <f>INDEX($A$102:$H$115,MATCH($L105,$B$102:$B$115,0),MATCH($AA$101,$A$102:$H$102,0))*고양시_Modal_split!I$3 * 0.01</f>
        <v>220.47133007753806</v>
      </c>
      <c r="AH105" s="207">
        <f>INDEX($A$102:$H$115,MATCH($L105,$B$102:$B$115,0),MATCH($AA$101,$A$102:$H$102,0))*고양시_Modal_split!J$3 * 0.01</f>
        <v>2414.081758115201</v>
      </c>
      <c r="AI105" s="207">
        <f>INDEX($A$102:$H$115,MATCH($L105,$B$102:$B$115,0),MATCH($AA$101,$A$102:$H$102,0))*고양시_Modal_split!K$3 * 0.01</f>
        <v>11.895935076126154</v>
      </c>
      <c r="AJ105" s="207">
        <f>INDEX($A$102:$H$115,MATCH($L105,$B$102:$B$115,0),MATCH($AA$101,$A$102:$H$102,0))*고양시_Modal_split!L$3 * 0.01</f>
        <v>239.50482619933993</v>
      </c>
      <c r="AK105" s="207">
        <f>INDEX($A$102:$H$115,MATCH($L105,$B$102:$B$115,0),MATCH($AA$101,$A$102:$H$102,0))*고양시_Modal_split!M$3 * 0.01</f>
        <v>18.240433783393438</v>
      </c>
      <c r="AL105" s="207">
        <f>INDEX($A$102:$H$115,MATCH($L105,$B$102:$B$115,0),MATCH($AA$101,$A$102:$H$102,0))*고양시_Modal_split!N$3 * 0.01</f>
        <v>7.9306233840841038</v>
      </c>
      <c r="AM105" s="207">
        <f>INDEX($A$102:$H$115,MATCH($L105,$B$102:$B$115,0),MATCH($AA$101,$A$102:$H$102,0))*고양시_Modal_split!O$3 * 0.01</f>
        <v>14.275122091351387</v>
      </c>
      <c r="AN105" s="207">
        <f>INDEX($A$102:$H$115,MATCH($L105,$B$102:$B$115,0),MATCH($AA$101,$A$102:$H$102,0))*고양시_Modal_split!P$3 * 0.01</f>
        <v>7930.6233840841032</v>
      </c>
      <c r="AO105" s="303">
        <f>INDEX($A$102:$H$115,MATCH($L105,$B$102:$B$115,0),MATCH($AO$101,$A$102:$H$102,0))*고양시_Modal_split!C$3 * 0.01</f>
        <v>0.98427750905340972</v>
      </c>
      <c r="AP105" s="303">
        <f>INDEX($A$102:$H$115,MATCH($L105,$B$102:$B$115,0),MATCH($AO$101,$A$102:$H$102,0))*고양시_Modal_split!D$3 * 0.01</f>
        <v>165.32346875279237</v>
      </c>
      <c r="AQ105" s="303">
        <f>INDEX($A$102:$H$115,MATCH($L105,$B$102:$B$115,0),MATCH($AO$101,$A$102:$H$102,0))*고양시_Modal_split!E$3 * 0.01</f>
        <v>20.001925094692503</v>
      </c>
      <c r="AR105" s="303">
        <f>INDEX($A$102:$H$115,MATCH($L105,$B$102:$B$115,0),MATCH($AO$101,$A$102:$H$102,0))*고양시_Modal_split!F$3 * 0.01</f>
        <v>32.235088421499171</v>
      </c>
      <c r="AS105" s="303">
        <f>INDEX($A$102:$H$115,MATCH($L105,$B$102:$B$115,0),MATCH($AO$101,$A$102:$H$102,0))*고양시_Modal_split!G$3 * 0.01</f>
        <v>3.2340546726040604</v>
      </c>
      <c r="AT105" s="303">
        <f>INDEX($A$102:$H$115,MATCH($L105,$B$102:$B$115,0),MATCH($AO$101,$A$102:$H$102,0))*고양시_Modal_split!H$3 * 0.01</f>
        <v>3.5152768180478924E-2</v>
      </c>
      <c r="AU105" s="303">
        <f>INDEX($A$102:$H$115,MATCH($L105,$B$102:$B$115,0),MATCH($AO$101,$A$102:$H$102,0))*고양시_Modal_split!I$3 * 0.01</f>
        <v>9.7724695541731403</v>
      </c>
      <c r="AV105" s="303">
        <f>INDEX($A$102:$H$115,MATCH($L105,$B$102:$B$115,0),MATCH($AO$101,$A$102:$H$102,0))*고양시_Modal_split!J$3 * 0.01</f>
        <v>107.00502634137784</v>
      </c>
      <c r="AW105" s="303">
        <f>INDEX($A$102:$H$115,MATCH($L105,$B$102:$B$115,0),MATCH($AO$101,$A$102:$H$102,0))*고양시_Modal_split!K$3 * 0.01</f>
        <v>0.52729152270718382</v>
      </c>
      <c r="AX105" s="303">
        <f>INDEX($A$102:$H$115,MATCH($L105,$B$102:$B$115,0),MATCH($AO$101,$A$102:$H$102,0))*고양시_Modal_split!L$3 * 0.01</f>
        <v>10.616135990504633</v>
      </c>
      <c r="AY105" s="303">
        <f>INDEX($A$102:$H$115,MATCH($L105,$B$102:$B$115,0),MATCH($AO$101,$A$102:$H$102,0))*고양시_Modal_split!M$3 * 0.01</f>
        <v>0.80851366815101511</v>
      </c>
      <c r="AZ105" s="303">
        <f>INDEX($A$102:$H$115,MATCH($L105,$B$102:$B$115,0),MATCH($AO$101,$A$102:$H$102,0))*고양시_Modal_split!N$3 * 0.01</f>
        <v>0.35152768180478922</v>
      </c>
      <c r="BA105" s="207">
        <f>INDEX($A$102:$H$115,MATCH($L105,$B$102:$B$115,0),MATCH($AO$101,$A$102:$H$102,0))*고양시_Modal_split!O$3 * 0.01</f>
        <v>0.63274982724862061</v>
      </c>
      <c r="BB105" s="207">
        <f>INDEX($A$102:$H$115,MATCH($L105,$B$102:$B$115,0),MATCH($AO$101,$A$102:$H$102,0))*고양시_Modal_split!P$3 * 0.01</f>
        <v>351.52768180478927</v>
      </c>
      <c r="BC105" s="207">
        <f>INDEX($A$102:$H$115,MATCH($L105,$B$102:$B$115,0),MATCH($BC$101,$A$102:$H$102,0))*고양시_Modal_split!C$3 * 0.01</f>
        <v>2.6692271431956972E-3</v>
      </c>
      <c r="BD105" s="207">
        <f>INDEX($A$102:$H$115,MATCH($L105,$B$102:$B$115,0),MATCH($BC$101,$A$102:$H$102,0))*고양시_Modal_split!D$3 * 0.01</f>
        <v>0.44833483051604872</v>
      </c>
      <c r="BE105" s="207">
        <f>INDEX($A$102:$H$115,MATCH($L105,$B$102:$B$115,0),MATCH($BC$101,$A$102:$H$102,0))*고양시_Modal_split!E$3 * 0.01</f>
        <v>5.4242508731369696E-2</v>
      </c>
      <c r="BF105" s="207">
        <f>INDEX($A$102:$H$115,MATCH($L105,$B$102:$B$115,0),MATCH($BC$101,$A$102:$H$102,0))*고양시_Modal_split!F$3 * 0.01</f>
        <v>8.741718893965908E-2</v>
      </c>
      <c r="BG105" s="207">
        <f>INDEX($A$102:$H$115,MATCH($L105,$B$102:$B$115,0),MATCH($BC$101,$A$102:$H$102,0))*고양시_Modal_split!G$3 * 0.01</f>
        <v>8.7703177562144328E-3</v>
      </c>
      <c r="BH105" s="207">
        <f>INDEX($A$102:$H$115,MATCH($L105,$B$102:$B$115,0),MATCH($BC$101,$A$102:$H$102,0))*고양시_Modal_split!H$3 * 0.01</f>
        <v>9.5329540828417771E-5</v>
      </c>
      <c r="BI105" s="207">
        <f>INDEX($A$102:$H$115,MATCH($L105,$B$102:$B$115,0),MATCH($BC$101,$A$102:$H$102,0))*고양시_Modal_split!I$3 * 0.01</f>
        <v>2.6501612350300133E-2</v>
      </c>
      <c r="BJ105" s="207">
        <f>INDEX($A$102:$H$115,MATCH($L105,$B$102:$B$115,0),MATCH($BC$101,$A$102:$H$102,0))*고양시_Modal_split!J$3 * 0.01</f>
        <v>0.29018312228170368</v>
      </c>
      <c r="BK105" s="207">
        <f>INDEX($A$102:$H$115,MATCH($L105,$B$102:$B$115,0),MATCH($BC$101,$A$102:$H$102,0))*고양시_Modal_split!K$3 * 0.01</f>
        <v>1.4299431124262664E-3</v>
      </c>
      <c r="BL105" s="207">
        <f>INDEX($A$102:$H$115,MATCH($L105,$B$102:$B$115,0),MATCH($BC$101,$A$102:$H$102,0))*고양시_Modal_split!L$3 * 0.01</f>
        <v>2.8789521330182165E-2</v>
      </c>
      <c r="BM105" s="207">
        <f>INDEX($A$102:$H$115,MATCH($L105,$B$102:$B$115,0),MATCH($BC$101,$A$102:$H$102,0))*고양시_Modal_split!M$3 * 0.01</f>
        <v>2.1925794390536082E-3</v>
      </c>
      <c r="BN105" s="207">
        <f>INDEX($A$102:$H$115,MATCH($L105,$B$102:$B$115,0),MATCH($BC$101,$A$102:$H$102,0))*고양시_Modal_split!N$3 * 0.01</f>
        <v>9.5329540828417768E-4</v>
      </c>
      <c r="BO105" s="207">
        <f>INDEX($A$102:$H$115,MATCH($L105,$B$102:$B$115,0),MATCH($BC$101,$A$102:$H$102,0))*고양시_Modal_split!O$3 * 0.01</f>
        <v>1.7159317349115196E-3</v>
      </c>
      <c r="BP105" s="207">
        <f>INDEX($A$102:$H$115,MATCH($L105,$B$102:$B$115,0),MATCH($BC$101,$A$102:$H$102,0))*고양시_Modal_split!P$3 * 0.01</f>
        <v>0.95329540828417769</v>
      </c>
      <c r="BQ105" s="207">
        <f>INDEX($A$102:$H$115,MATCH($L105,$B$102:$B$115,0),MATCH($BQ$101,$A$102:$H$102,0))*고양시_Modal_split!C$3 * 0.01</f>
        <v>7.5628102390544365E-3</v>
      </c>
      <c r="BR105" s="207">
        <f>INDEX($A$102:$H$115,MATCH($L105,$B$102:$B$115,0),MATCH($BQ$101,$A$102:$H$102,0))*고양시_Modal_split!D$3 * 0.01</f>
        <v>1.270282019795465</v>
      </c>
      <c r="BS105" s="207">
        <f>INDEX($A$102:$H$115,MATCH($L105,$B$102:$B$115,0),MATCH($BQ$101,$A$102:$H$102,0))*고양시_Modal_split!E$3 * 0.01</f>
        <v>0.15368710807221336</v>
      </c>
      <c r="BT105" s="207">
        <f>INDEX($A$102:$H$115,MATCH($L105,$B$102:$B$115,0),MATCH($BQ$101,$A$102:$H$102,0))*고양시_Modal_split!F$3 * 0.01</f>
        <v>0.24768203532903282</v>
      </c>
      <c r="BU105" s="207">
        <f>INDEX($A$102:$H$115,MATCH($L105,$B$102:$B$115,0),MATCH($BQ$101,$A$102:$H$102,0))*고양시_Modal_split!G$3 * 0.01</f>
        <v>2.4849233642607438E-2</v>
      </c>
      <c r="BV105" s="207">
        <f>INDEX($A$102:$H$115,MATCH($L105,$B$102:$B$115,0),MATCH($BQ$101,$A$102:$H$102,0))*고양시_Modal_split!H$3 * 0.01</f>
        <v>2.7010036568051561E-4</v>
      </c>
      <c r="BW105" s="207">
        <f>INDEX($A$102:$H$115,MATCH($L105,$B$102:$B$115,0),MATCH($BQ$101,$A$102:$H$102,0))*고양시_Modal_split!I$3 * 0.01</f>
        <v>7.5087901659183331E-2</v>
      </c>
      <c r="BX105" s="207">
        <f>INDEX($A$102:$H$115,MATCH($L105,$B$102:$B$115,0),MATCH($BQ$101,$A$102:$H$102,0))*고양시_Modal_split!J$3 * 0.01</f>
        <v>0.82218551313148946</v>
      </c>
      <c r="BY105" s="207">
        <f>INDEX($A$102:$H$115,MATCH($L105,$B$102:$B$115,0),MATCH($BQ$101,$A$102:$H$102,0))*고양시_Modal_split!K$3 * 0.01</f>
        <v>4.0515054852077346E-3</v>
      </c>
      <c r="BZ105" s="207">
        <f>INDEX($A$102:$H$115,MATCH($L105,$B$102:$B$115,0),MATCH($BQ$101,$A$102:$H$102,0))*고양시_Modal_split!L$3 * 0.01</f>
        <v>8.1570310435515714E-2</v>
      </c>
      <c r="CA105" s="207">
        <f>INDEX($A$102:$H$115,MATCH($L105,$B$102:$B$115,0),MATCH($BQ$101,$A$102:$H$102,0))*고양시_Modal_split!M$3 * 0.01</f>
        <v>6.2123084106518595E-3</v>
      </c>
      <c r="CB105" s="207">
        <f>INDEX($A$102:$H$115,MATCH($L105,$B$102:$B$115,0),MATCH($BQ$101,$A$102:$H$102,0))*고양시_Modal_split!N$3 * 0.01</f>
        <v>2.7010036568051558E-3</v>
      </c>
      <c r="CC105" s="207">
        <f>INDEX($A$102:$H$115,MATCH($L105,$B$102:$B$115,0),MATCH($BQ$101,$A$102:$H$102,0))*고양시_Modal_split!O$3 * 0.01</f>
        <v>4.8618065822492807E-3</v>
      </c>
      <c r="CD105" s="207">
        <f>INDEX($A$102:$H$115,MATCH($L105,$B$102:$B$115,0),MATCH($BQ$101,$A$102:$H$102,0))*고양시_Modal_split!P$3 * 0.01</f>
        <v>2.7010036568051561</v>
      </c>
      <c r="CE105" s="304">
        <f t="shared" si="52"/>
        <v>26.055883193899994</v>
      </c>
      <c r="CF105" s="304">
        <f t="shared" si="47"/>
        <v>4376.4578093182736</v>
      </c>
      <c r="CG105" s="304">
        <f t="shared" si="47"/>
        <v>529.49276919032491</v>
      </c>
      <c r="CH105" s="304">
        <f t="shared" si="47"/>
        <v>853.33017460022495</v>
      </c>
      <c r="CI105" s="304">
        <f t="shared" si="47"/>
        <v>85.612187637100007</v>
      </c>
      <c r="CJ105" s="304">
        <f t="shared" si="47"/>
        <v>0.93056725692500009</v>
      </c>
      <c r="CK105" s="304">
        <f t="shared" si="47"/>
        <v>258.6976974251499</v>
      </c>
      <c r="CL105" s="304">
        <f t="shared" si="47"/>
        <v>2832.6467300796994</v>
      </c>
      <c r="CM105" s="304">
        <f t="shared" si="47"/>
        <v>13.958508853874998</v>
      </c>
      <c r="CN105" s="304">
        <f t="shared" si="47"/>
        <v>281.03131159134995</v>
      </c>
      <c r="CO105" s="304">
        <f t="shared" si="47"/>
        <v>21.403046909275002</v>
      </c>
      <c r="CP105" s="304">
        <f t="shared" si="47"/>
        <v>9.3056725692499995</v>
      </c>
      <c r="CQ105" s="304">
        <f t="shared" si="47"/>
        <v>16.750210624649995</v>
      </c>
      <c r="CR105" s="304">
        <f t="shared" si="47"/>
        <v>9305.6725692499986</v>
      </c>
      <c r="CS105" s="305">
        <f t="shared" si="53"/>
        <v>0</v>
      </c>
      <c r="CV105" s="265"/>
      <c r="CW105" s="265" t="s">
        <v>670</v>
      </c>
      <c r="CX105" s="267">
        <f>INDEX($M$101:$Z$115,MATCH($CW105,$L$101:$L$115,0),MATCH(CX$102,$M$102:$Z$102,0))/INDEX(고양시_재차인원!$D$4:$H$35,MATCH("고양시",고양시_재차인원!$B$4:$B$35,0),MATCH($CX$101,고양시_재차인원!$D$4:$H$4,0))</f>
        <v>428.25316623251513</v>
      </c>
      <c r="CY105" s="267">
        <f>INDEX($M$101:$Z$115,MATCH($CW105,$L$101:$L$115,0),MATCH(CY$102,$M$102:$Z$102,0))/INDEX(고양시_재차인원!$K$4:$O$20,MATCH("경기도",고양시_재차인원!$K$4:$K$20,0),MATCH(CY$102,고양시_재차인원!$K$4:$O$4,0))</f>
        <v>3.5424355828274313E-3</v>
      </c>
      <c r="CZ105" s="267">
        <f>INDEX($M$101:$Z$115,MATCH($CW105,$L$101:$L$115,0),MATCH(CZ$102,$M$102:$Z$102,0))/INDEX(고양시_재차인원!$K$4:$O$20,MATCH("경기도",고양시_재차인원!$K$4:$K$20,0),MATCH(CZ$102,고양시_재차인원!$K$4:$O$4,0))</f>
        <v>0.98479709202602572</v>
      </c>
      <c r="DA105" s="267">
        <f>INDEX($M$101:$Z$115,MATCH($CW105,$L$101:$L$115,0),MATCH(DA$102,$M$102:$Z$102,0))/INDEX(고양시_재차인원!$D$4:$H$35,MATCH("고양시",고양시_재차인원!$B$4:$B$35,0),MATCH($CX$101,고양시_재차인원!$D$4:$H$4,0))</f>
        <v>27.499990687267609</v>
      </c>
      <c r="DB105" s="267">
        <f>INDEX($AA$101:$AN$115,MATCH($CW105,$L$101:$L$115,0),MATCH(DB$102,$AA$102:$AN$102,0))/INDEX(고양시_재차인원!$D$4:$H$35,MATCH("고양시",고양시_재차인원!$B$4:$B$35,0),MATCH($DB$101,고양시_재차인원!$D$4:$H$4,0))</f>
        <v>2645.2284947054991</v>
      </c>
      <c r="DC105" s="267">
        <f>INDEX($AA$101:$AN$115,MATCH($CW105,$L$101:$L$115,0),MATCH(DC$102,$AA$102:$AN$102,0))/INDEX(고양시_재차인원!$K$4:$O$20,MATCH("경기도",고양시_재차인원!$K$4:$K$20,0),MATCH(DC$102,고양시_재차인원!$K$4:$O$4,0))</f>
        <v>2.7546451490392858E-2</v>
      </c>
      <c r="DD105" s="267">
        <f>INDEX($AA$101:$AN$115,MATCH($CW105,$L$101:$L$115,0),MATCH(DD$102,$AA$102:$AN$102,0))/INDEX(고양시_재차인원!$K$4:$O$20,MATCH("경기도",고양시_재차인원!$K$4:$K$20,0),MATCH(DD$102,고양시_재차인원!$K$4:$O$4,0))</f>
        <v>7.6579135143292136</v>
      </c>
      <c r="DE105" s="267">
        <f>INDEX($AA$101:$AN$115,MATCH($CW105,$L$101:$L$115,0),MATCH(DE$102,$AA$102:$AN$102,0))/INDEX(고양시_재차인원!$D$4:$H$35,MATCH("고양시",고양시_재차인원!$B$4:$B$35,0),MATCH($DB$101,고양시_재차인원!$D$4:$H$4,0))</f>
        <v>169.86157886478011</v>
      </c>
      <c r="DF105" s="267">
        <f>INDEX($AO$101:$BB$115,MATCH($CW105,$L$101:$L$115,0),MATCH(DF$102,$AO$102:$BB$102,0))/INDEX(고양시_재차인원!$D$4:$H$35,MATCH("고양시",고양시_재차인원!$B$4:$B$35,0),MATCH($DF$101,고양시_재차인원!$D$4:$H$4,0))</f>
        <v>127.1718990406095</v>
      </c>
      <c r="DG105" s="267">
        <f>INDEX($AO$101:$BB$115,MATCH($CW105,$L$101:$L$115,0),MATCH(DG$102,$AO$102:$BB$102,0))/INDEX(고양시_재차인원!$K$4:$O$20,MATCH("경기도",고양시_재차인원!$K$4:$K$20,0),MATCH(DG$102,고양시_재차인원!$K$4:$O$4,0))</f>
        <v>1.2210061889711332E-3</v>
      </c>
      <c r="DH105" s="267">
        <f>INDEX($AO$101:$BB$115,MATCH($CW105,$L$101:$L$115,0),MATCH(DH$102,$AO$102:$BB$102,0))/INDEX(고양시_재차인원!$K$4:$O$20,MATCH("경기도",고양시_재차인원!$K$4:$K$20,0),MATCH(DH$102,고양시_재차인원!$K$4:$O$4,0))</f>
        <v>0.33943972053397503</v>
      </c>
      <c r="DI105" s="267">
        <f>INDEX($AO$101:$BB$115,MATCH($CW105,$L$101:$L$115,0),MATCH(DI$102,$AO$102:$BB$102,0))/INDEX(고양시_재차인원!$D$4:$H$35,MATCH("고양시",고양시_재차인원!$B$4:$B$35,0),MATCH($DF$101,고양시_재차인원!$D$4:$H$4,0))</f>
        <v>8.1662584542343328</v>
      </c>
      <c r="DJ105" s="267">
        <f>INDEX($BC$101:$BP$115,MATCH($CW105,$L$101:$L$115,0),MATCH(DJ$102,$BC$102:$BP$102,0))/INDEX(고양시_재차인원!$D$4:$H$35,MATCH("고양시",고양시_재차인원!$B$4:$B$35,0),MATCH($DJ$101,고양시_재차인원!$D$4:$H$4,0))</f>
        <v>0.3296579636147417</v>
      </c>
      <c r="DK105" s="267">
        <f>INDEX($BC$101:$BP$115,MATCH($CW105,$L$101:$L$115,0),MATCH(DK$102,$BC$102:$BP$102,0))/INDEX(고양시_재차인원!$K$4:$O$20,MATCH("경기도",고양시_재차인원!$K$4:$K$20,0),MATCH(DK$102,고양시_재차인원!$K$4:$O$4,0))</f>
        <v>3.311203224328509E-6</v>
      </c>
      <c r="DL105" s="267">
        <f>INDEX($BC$101:$BP$115,MATCH($CW105,$L$101:$L$115,0),MATCH(DL$102,$BC$102:$BP$102,0))/INDEX(고양시_재차인원!$K$4:$O$20,MATCH("경기도",고양시_재차인원!$K$4:$K$20,0),MATCH(DL$102,고양시_재차인원!$K$4:$O$4,0))</f>
        <v>9.2051449636332521E-4</v>
      </c>
      <c r="DM105" s="267">
        <f>INDEX($BC$101:$BP$115,MATCH($CW105,$L$101:$L$115,0),MATCH(DM$102,$BC$102:$BP$102,0))/INDEX(고양시_재차인원!$D$4:$H$35,MATCH("고양시",고양시_재차인원!$B$4:$B$35,0),MATCH($DJ$101,고양시_재차인원!$D$4:$H$4,0))</f>
        <v>2.1168765683957473E-2</v>
      </c>
      <c r="DN105" s="267">
        <f>INDEX($BQ$101:$CD$115,MATCH($CW105,$L$101:$L$115,0),MATCH(DN$102,$BQ$102:$CD$102,0))/INDEX(고양시_재차인원!$D$4:$H$35,MATCH("고양시",고양시_재차인원!$B$4:$B$35,0),MATCH($DN$101,고양시_재차인원!$D$4:$H$4,0))</f>
        <v>1.0081603331710038</v>
      </c>
      <c r="DO105" s="267">
        <f>INDEX($BQ$101:$CD$115,MATCH($CW105,$L$101:$L$115,0),MATCH(DO$102,$BQ$102:$CD$102,0))/INDEX(고양시_재차인원!$K$4:$O$20,MATCH("경기도",고양시_재차인원!$K$4:$K$20,0),MATCH(DO$102,고양시_재차인원!$K$4:$O$4,0))</f>
        <v>9.3817424689307264E-6</v>
      </c>
      <c r="DP105" s="267">
        <f>INDEX($BQ$101:$CD$115,MATCH($CW105,$L$101:$L$115,0),MATCH(DP$102,$BQ$102:$CD$102,0))/INDEX(고양시_재차인원!$K$4:$O$20,MATCH("경기도",고양시_재차인원!$K$4:$K$20,0),MATCH(DP$102,고양시_재차인원!$K$4:$O$4,0))</f>
        <v>2.6081244063627415E-3</v>
      </c>
      <c r="DQ105" s="267">
        <f>INDEX($BQ$101:$CD$115,MATCH($CW105,$L$101:$L$115,0),MATCH(DQ$102,$BQ$102:$CD$102,0))/INDEX(고양시_재차인원!$D$4:$H$35,MATCH("고양시",고양시_재차인원!$B$4:$B$35,0),MATCH($DN$101,고양시_재차인원!$D$4:$H$4,0))</f>
        <v>6.4738341615488665E-2</v>
      </c>
      <c r="DR105" s="270">
        <f t="shared" si="54"/>
        <v>3201.9913782754093</v>
      </c>
      <c r="DS105" s="270">
        <f t="shared" si="48"/>
        <v>3.2322586207884675E-2</v>
      </c>
      <c r="DT105" s="270">
        <f t="shared" si="48"/>
        <v>8.9856789657919389</v>
      </c>
      <c r="DU105" s="270">
        <f t="shared" si="48"/>
        <v>205.6137351135815</v>
      </c>
      <c r="DW105" s="278"/>
      <c r="DX105" s="278" t="s">
        <v>670</v>
      </c>
      <c r="DY105" s="281">
        <f t="shared" si="55"/>
        <v>3407.605113388991</v>
      </c>
      <c r="DZ105" s="281">
        <f t="shared" si="56"/>
        <v>9.0180015519998236</v>
      </c>
      <c r="EB105" s="278"/>
      <c r="EC105" s="278" t="s">
        <v>670</v>
      </c>
      <c r="ED105" s="281">
        <f t="shared" si="57"/>
        <v>3407.605113388991</v>
      </c>
      <c r="EE105" s="281">
        <f t="shared" si="49"/>
        <v>9.0180015519998236</v>
      </c>
      <c r="EL105" s="306" t="s">
        <v>12</v>
      </c>
      <c r="EM105" s="306" t="s">
        <v>359</v>
      </c>
      <c r="EN105" s="306">
        <v>5055.2204000000002</v>
      </c>
      <c r="EO105" s="306">
        <v>7.5479196375319413E-2</v>
      </c>
      <c r="EP105" s="307">
        <v>849103</v>
      </c>
      <c r="EQ105" s="308">
        <f t="shared" si="58"/>
        <v>15.712247164902593</v>
      </c>
      <c r="ER105" s="308">
        <f t="shared" si="59"/>
        <v>4.1581422906593009E-2</v>
      </c>
      <c r="ET105" s="420" t="s">
        <v>12</v>
      </c>
      <c r="EU105" s="420" t="s">
        <v>359</v>
      </c>
      <c r="EV105" s="420">
        <v>5055.2204000000002</v>
      </c>
      <c r="EW105" s="420">
        <v>7.5479196375319413E-2</v>
      </c>
      <c r="EX105" s="421">
        <v>849103</v>
      </c>
      <c r="EY105" s="422">
        <f t="shared" si="60"/>
        <v>15.26444812070287</v>
      </c>
      <c r="EZ105" s="422">
        <f t="shared" si="50"/>
        <v>4.0396352353755112E-2</v>
      </c>
      <c r="FA105">
        <v>0</v>
      </c>
      <c r="FD105" s="306" t="s">
        <v>12</v>
      </c>
      <c r="FE105" s="306" t="s">
        <v>359</v>
      </c>
      <c r="FF105" s="306">
        <v>5055.2204000000002</v>
      </c>
      <c r="FG105" s="306">
        <v>7.5479196375319413E-2</v>
      </c>
      <c r="FH105" s="307">
        <v>849103</v>
      </c>
      <c r="FI105" s="308">
        <f t="shared" si="61"/>
        <v>15.26444812070287</v>
      </c>
      <c r="FJ105" s="308">
        <f t="shared" si="51"/>
        <v>4.0396352353755112E-2</v>
      </c>
      <c r="FL105" s="101"/>
      <c r="FM105" s="101"/>
      <c r="FN105" s="101"/>
      <c r="FO105" s="101"/>
      <c r="FP105" s="374"/>
      <c r="FQ105" s="404"/>
      <c r="FR105" s="404"/>
    </row>
    <row r="106" spans="1:174" ht="25">
      <c r="A106" s="205"/>
      <c r="B106" s="205" t="s">
        <v>672</v>
      </c>
      <c r="C106" s="400">
        <f>$AB64*KTDB_TripDistribution_2025!L$12 * (1+KTDB_발생량도착량_증가율!$C$8*2)</f>
        <v>163.99698425527936</v>
      </c>
      <c r="D106" s="400">
        <f>$AB64*KTDB_TripDistribution_2025!M$12 * (1+KTDB_발생량도착량_증가율!$C$8*2)</f>
        <v>1275.2624192401142</v>
      </c>
      <c r="E106" s="400">
        <f>$AB64*KTDB_TripDistribution_2025!N$12 * (1+KTDB_발생량도착량_증가율!$C$8*2)</f>
        <v>56.526457028323122</v>
      </c>
      <c r="F106" s="400">
        <f>$AB64*KTDB_TripDistribution_2025!O$12 * (1+KTDB_발생량도착량_증가율!$C$8*2)</f>
        <v>0.15329208685647006</v>
      </c>
      <c r="G106" s="400">
        <f>$AB64*KTDB_TripDistribution_2025!P$12 * (1+KTDB_발생량도착량_증가율!$C$8*2)</f>
        <v>0.43432757942666295</v>
      </c>
      <c r="H106" s="400">
        <f>$AB64*KTDB_TripDistribution_2025!Q$12 * (1+KTDB_발생량도착량_증가율!$C$8*2)</f>
        <v>1496.37348019</v>
      </c>
      <c r="J106" s="230">
        <f t="shared" si="46"/>
        <v>1496.37348019</v>
      </c>
      <c r="K106" s="206"/>
      <c r="L106" s="206" t="s">
        <v>672</v>
      </c>
      <c r="M106" s="206">
        <f>INDEX($A$102:$H$115,MATCH($L106,$B$102:$B$115,0),MATCH($M$101,$A$102:$H$102,0))*고양시_Modal_split!C$3 * 0.01</f>
        <v>0.45919155591478217</v>
      </c>
      <c r="N106" s="206">
        <f>INDEX($A$102:$H$115,MATCH($L106,$B$102:$B$115,0),MATCH($M$101,$A$102:$H$102,0))*고양시_Modal_split!D$3 * 0.01</f>
        <v>77.12778169525788</v>
      </c>
      <c r="O106" s="206">
        <f>INDEX($A$102:$H$115,MATCH($L106,$B$102:$B$115,0),MATCH($M$101,$A$102:$H$102,0))*고양시_Modal_split!E$3 * 0.01</f>
        <v>9.3314284041253952</v>
      </c>
      <c r="P106" s="206">
        <f>INDEX($A$102:$H$115,MATCH($L106,$B$102:$B$115,0),MATCH($M$101,$A$102:$H$102,0))*고양시_Modal_split!F$3 * 0.01</f>
        <v>15.038523456209116</v>
      </c>
      <c r="Q106" s="206">
        <f>INDEX($A$102:$H$115,MATCH($L106,$B$102:$B$115,0),MATCH($M$101,$A$102:$H$102,0))*고양시_Modal_split!G$3 * 0.01</f>
        <v>1.5087722551485701</v>
      </c>
      <c r="R106" s="206">
        <f>INDEX($A$102:$H$115,MATCH($L106,$B$102:$B$115,0),MATCH($M$101,$A$102:$H$102,0))*고양시_Modal_split!H$3 * 0.01</f>
        <v>1.6399698425527937E-2</v>
      </c>
      <c r="S106" s="206">
        <f>INDEX($A$102:$H$115,MATCH($L106,$B$102:$B$115,0),MATCH($M$101,$A$102:$H$102,0))*고양시_Modal_split!I$3 * 0.01</f>
        <v>4.5591161622967666</v>
      </c>
      <c r="T106" s="206">
        <f>INDEX($A$102:$H$115,MATCH($L106,$B$102:$B$115,0),MATCH($M$101,$A$102:$H$102,0))*고양시_Modal_split!J$3 * 0.01</f>
        <v>49.920682007307043</v>
      </c>
      <c r="U106" s="206">
        <f>INDEX($A$102:$H$115,MATCH($L106,$B$102:$B$115,0),MATCH($M$101,$A$102:$H$102,0))*고양시_Modal_split!K$3 * 0.01</f>
        <v>0.24599547638291902</v>
      </c>
      <c r="V106" s="206">
        <f>INDEX($A$102:$H$115,MATCH($L106,$B$102:$B$115,0),MATCH($M$101,$A$102:$H$102,0))*고양시_Modal_split!L$3 * 0.01</f>
        <v>4.9527089245094365</v>
      </c>
      <c r="W106" s="206">
        <f>INDEX($A$102:$H$115,MATCH($L106,$B$102:$B$115,0),MATCH($M$101,$A$102:$H$102,0))*고양시_Modal_split!M$3 * 0.01</f>
        <v>0.37719306378714251</v>
      </c>
      <c r="X106" s="206">
        <f>INDEX($A$102:$H$115,MATCH($L106,$B$102:$B$115,0),MATCH($M$101,$A$102:$H$102,0))*고양시_Modal_split!N$3 * 0.01</f>
        <v>0.16399698425527937</v>
      </c>
      <c r="Y106" s="206">
        <f>INDEX($A$102:$H$115,MATCH($L106,$B$102:$B$115,0),MATCH($M$101,$A$102:$H$102,0))*고양시_Modal_split!O$3 * 0.01</f>
        <v>0.2951945716595028</v>
      </c>
      <c r="Z106" s="209">
        <f>INDEX($A$102:$H$115,MATCH($L106,$B$102:$B$115,0),MATCH($M$101,$A$102:$H$102,0))*고양시_Modal_split!P$3 * 0.01</f>
        <v>163.99698425527936</v>
      </c>
      <c r="AA106" s="207">
        <f>INDEX($A$102:$H$115,MATCH($L106,$B$102:$B$115,0),MATCH($AA$101,$A$102:$H$102,0))*고양시_Modal_split!C$3 * 0.01</f>
        <v>3.5707347738723194</v>
      </c>
      <c r="AB106" s="207">
        <f>INDEX($A$102:$H$115,MATCH($L106,$B$102:$B$115,0),MATCH($AA$101,$A$102:$H$102,0))*고양시_Modal_split!D$3 * 0.01</f>
        <v>599.75591576862575</v>
      </c>
      <c r="AC106" s="207">
        <f>INDEX($A$102:$H$115,MATCH($L106,$B$102:$B$115,0),MATCH($AA$101,$A$102:$H$102,0))*고양시_Modal_split!E$3 * 0.01</f>
        <v>72.562431654762491</v>
      </c>
      <c r="AD106" s="207">
        <f>INDEX($A$102:$H$115,MATCH($L106,$B$102:$B$115,0),MATCH($AA$101,$A$102:$H$102,0))*고양시_Modal_split!F$3 * 0.01</f>
        <v>116.94156384431848</v>
      </c>
      <c r="AE106" s="207">
        <f>INDEX($A$102:$H$115,MATCH($L106,$B$102:$B$115,0),MATCH($AA$101,$A$102:$H$102,0))*고양시_Modal_split!G$3 * 0.01</f>
        <v>11.732414257009051</v>
      </c>
      <c r="AF106" s="207">
        <f>INDEX($A$102:$H$115,MATCH($L106,$B$102:$B$115,0),MATCH($AA$101,$A$102:$H$102,0))*고양시_Modal_split!H$3 * 0.01</f>
        <v>0.12752624192401144</v>
      </c>
      <c r="AG106" s="207">
        <f>INDEX($A$102:$H$115,MATCH($L106,$B$102:$B$115,0),MATCH($AA$101,$A$102:$H$102,0))*고양시_Modal_split!I$3 * 0.01</f>
        <v>35.452295254875175</v>
      </c>
      <c r="AH106" s="207">
        <f>INDEX($A$102:$H$115,MATCH($L106,$B$102:$B$115,0),MATCH($AA$101,$A$102:$H$102,0))*고양시_Modal_split!J$3 * 0.01</f>
        <v>388.18988041669081</v>
      </c>
      <c r="AI106" s="207">
        <f>INDEX($A$102:$H$115,MATCH($L106,$B$102:$B$115,0),MATCH($AA$101,$A$102:$H$102,0))*고양시_Modal_split!K$3 * 0.01</f>
        <v>1.9128936288601714</v>
      </c>
      <c r="AJ106" s="207">
        <f>INDEX($A$102:$H$115,MATCH($L106,$B$102:$B$115,0),MATCH($AA$101,$A$102:$H$102,0))*고양시_Modal_split!L$3 * 0.01</f>
        <v>38.512925061051455</v>
      </c>
      <c r="AK106" s="207">
        <f>INDEX($A$102:$H$115,MATCH($L106,$B$102:$B$115,0),MATCH($AA$101,$A$102:$H$102,0))*고양시_Modal_split!M$3 * 0.01</f>
        <v>2.9331035642522627</v>
      </c>
      <c r="AL106" s="207">
        <f>INDEX($A$102:$H$115,MATCH($L106,$B$102:$B$115,0),MATCH($AA$101,$A$102:$H$102,0))*고양시_Modal_split!N$3 * 0.01</f>
        <v>1.2752624192401143</v>
      </c>
      <c r="AM106" s="207">
        <f>INDEX($A$102:$H$115,MATCH($L106,$B$102:$B$115,0),MATCH($AA$101,$A$102:$H$102,0))*고양시_Modal_split!O$3 * 0.01</f>
        <v>2.2954723546322056</v>
      </c>
      <c r="AN106" s="207">
        <f>INDEX($A$102:$H$115,MATCH($L106,$B$102:$B$115,0),MATCH($AA$101,$A$102:$H$102,0))*고양시_Modal_split!P$3 * 0.01</f>
        <v>1275.2624192401142</v>
      </c>
      <c r="AO106" s="303">
        <f>INDEX($A$102:$H$115,MATCH($L106,$B$102:$B$115,0),MATCH($AO$101,$A$102:$H$102,0))*고양시_Modal_split!C$3 * 0.01</f>
        <v>0.15827407967930474</v>
      </c>
      <c r="AP106" s="303">
        <f>INDEX($A$102:$H$115,MATCH($L106,$B$102:$B$115,0),MATCH($AO$101,$A$102:$H$102,0))*고양시_Modal_split!D$3 * 0.01</f>
        <v>26.584392740420366</v>
      </c>
      <c r="AQ106" s="303">
        <f>INDEX($A$102:$H$115,MATCH($L106,$B$102:$B$115,0),MATCH($AO$101,$A$102:$H$102,0))*고양시_Modal_split!E$3 * 0.01</f>
        <v>3.2163554049115857</v>
      </c>
      <c r="AR106" s="303">
        <f>INDEX($A$102:$H$115,MATCH($L106,$B$102:$B$115,0),MATCH($AO$101,$A$102:$H$102,0))*고양시_Modal_split!F$3 * 0.01</f>
        <v>5.1834761094972306</v>
      </c>
      <c r="AS106" s="303">
        <f>INDEX($A$102:$H$115,MATCH($L106,$B$102:$B$115,0),MATCH($AO$101,$A$102:$H$102,0))*고양시_Modal_split!G$3 * 0.01</f>
        <v>0.52004340466057275</v>
      </c>
      <c r="AT106" s="303">
        <f>INDEX($A$102:$H$115,MATCH($L106,$B$102:$B$115,0),MATCH($AO$101,$A$102:$H$102,0))*고양시_Modal_split!H$3 * 0.01</f>
        <v>5.6526457028323119E-3</v>
      </c>
      <c r="AU106" s="303">
        <f>INDEX($A$102:$H$115,MATCH($L106,$B$102:$B$115,0),MATCH($AO$101,$A$102:$H$102,0))*고양시_Modal_split!I$3 * 0.01</f>
        <v>1.5714355053873827</v>
      </c>
      <c r="AV106" s="303">
        <f>INDEX($A$102:$H$115,MATCH($L106,$B$102:$B$115,0),MATCH($AO$101,$A$102:$H$102,0))*고양시_Modal_split!J$3 * 0.01</f>
        <v>17.206653519421561</v>
      </c>
      <c r="AW106" s="303">
        <f>INDEX($A$102:$H$115,MATCH($L106,$B$102:$B$115,0),MATCH($AO$101,$A$102:$H$102,0))*고양시_Modal_split!K$3 * 0.01</f>
        <v>8.4789685542484672E-2</v>
      </c>
      <c r="AX106" s="303">
        <f>INDEX($A$102:$H$115,MATCH($L106,$B$102:$B$115,0),MATCH($AO$101,$A$102:$H$102,0))*고양시_Modal_split!L$3 * 0.01</f>
        <v>1.7070990022553583</v>
      </c>
      <c r="AY106" s="303">
        <f>INDEX($A$102:$H$115,MATCH($L106,$B$102:$B$115,0),MATCH($AO$101,$A$102:$H$102,0))*고양시_Modal_split!M$3 * 0.01</f>
        <v>0.13001085116514319</v>
      </c>
      <c r="AZ106" s="303">
        <f>INDEX($A$102:$H$115,MATCH($L106,$B$102:$B$115,0),MATCH($AO$101,$A$102:$H$102,0))*고양시_Modal_split!N$3 * 0.01</f>
        <v>5.6526457028323131E-2</v>
      </c>
      <c r="BA106" s="207">
        <f>INDEX($A$102:$H$115,MATCH($L106,$B$102:$B$115,0),MATCH($AO$101,$A$102:$H$102,0))*고양시_Modal_split!O$3 * 0.01</f>
        <v>0.10174762265098161</v>
      </c>
      <c r="BB106" s="207">
        <f>INDEX($A$102:$H$115,MATCH($L106,$B$102:$B$115,0),MATCH($AO$101,$A$102:$H$102,0))*고양시_Modal_split!P$3 * 0.01</f>
        <v>56.526457028323122</v>
      </c>
      <c r="BC106" s="207">
        <f>INDEX($A$102:$H$115,MATCH($L106,$B$102:$B$115,0),MATCH($BC$101,$A$102:$H$102,0))*고양시_Modal_split!C$3 * 0.01</f>
        <v>4.2921784319811611E-4</v>
      </c>
      <c r="BD106" s="207">
        <f>INDEX($A$102:$H$115,MATCH($L106,$B$102:$B$115,0),MATCH($BC$101,$A$102:$H$102,0))*고양시_Modal_split!D$3 * 0.01</f>
        <v>7.2093268448597869E-2</v>
      </c>
      <c r="BE106" s="207">
        <f>INDEX($A$102:$H$115,MATCH($L106,$B$102:$B$115,0),MATCH($BC$101,$A$102:$H$102,0))*고양시_Modal_split!E$3 * 0.01</f>
        <v>8.7223197421331458E-3</v>
      </c>
      <c r="BF106" s="207">
        <f>INDEX($A$102:$H$115,MATCH($L106,$B$102:$B$115,0),MATCH($BC$101,$A$102:$H$102,0))*고양시_Modal_split!F$3 * 0.01</f>
        <v>1.4056884364738304E-2</v>
      </c>
      <c r="BG106" s="207">
        <f>INDEX($A$102:$H$115,MATCH($L106,$B$102:$B$115,0),MATCH($BC$101,$A$102:$H$102,0))*고양시_Modal_split!G$3 * 0.01</f>
        <v>1.4102871990795244E-3</v>
      </c>
      <c r="BH106" s="207">
        <f>INDEX($A$102:$H$115,MATCH($L106,$B$102:$B$115,0),MATCH($BC$101,$A$102:$H$102,0))*고양시_Modal_split!H$3 * 0.01</f>
        <v>1.5329208685647005E-5</v>
      </c>
      <c r="BI106" s="207">
        <f>INDEX($A$102:$H$115,MATCH($L106,$B$102:$B$115,0),MATCH($BC$101,$A$102:$H$102,0))*고양시_Modal_split!I$3 * 0.01</f>
        <v>4.2615200146098675E-3</v>
      </c>
      <c r="BJ106" s="207">
        <f>INDEX($A$102:$H$115,MATCH($L106,$B$102:$B$115,0),MATCH($BC$101,$A$102:$H$102,0))*고양시_Modal_split!J$3 * 0.01</f>
        <v>4.6662111239109488E-2</v>
      </c>
      <c r="BK106" s="207">
        <f>INDEX($A$102:$H$115,MATCH($L106,$B$102:$B$115,0),MATCH($BC$101,$A$102:$H$102,0))*고양시_Modal_split!K$3 * 0.01</f>
        <v>2.299381302847051E-4</v>
      </c>
      <c r="BL106" s="207">
        <f>INDEX($A$102:$H$115,MATCH($L106,$B$102:$B$115,0),MATCH($BC$101,$A$102:$H$102,0))*고양시_Modal_split!L$3 * 0.01</f>
        <v>4.6294210230653958E-3</v>
      </c>
      <c r="BM106" s="207">
        <f>INDEX($A$102:$H$115,MATCH($L106,$B$102:$B$115,0),MATCH($BC$101,$A$102:$H$102,0))*고양시_Modal_split!M$3 * 0.01</f>
        <v>3.5257179976988111E-4</v>
      </c>
      <c r="BN106" s="207">
        <f>INDEX($A$102:$H$115,MATCH($L106,$B$102:$B$115,0),MATCH($BC$101,$A$102:$H$102,0))*고양시_Modal_split!N$3 * 0.01</f>
        <v>1.5329208685647006E-4</v>
      </c>
      <c r="BO106" s="207">
        <f>INDEX($A$102:$H$115,MATCH($L106,$B$102:$B$115,0),MATCH($BC$101,$A$102:$H$102,0))*고양시_Modal_split!O$3 * 0.01</f>
        <v>2.759257563416461E-4</v>
      </c>
      <c r="BP106" s="207">
        <f>INDEX($A$102:$H$115,MATCH($L106,$B$102:$B$115,0),MATCH($BC$101,$A$102:$H$102,0))*고양시_Modal_split!P$3 * 0.01</f>
        <v>0.15329208685647006</v>
      </c>
      <c r="BQ106" s="207">
        <f>INDEX($A$102:$H$115,MATCH($L106,$B$102:$B$115,0),MATCH($BQ$101,$A$102:$H$102,0))*고양시_Modal_split!C$3 * 0.01</f>
        <v>1.2161172223946561E-3</v>
      </c>
      <c r="BR106" s="207">
        <f>INDEX($A$102:$H$115,MATCH($L106,$B$102:$B$115,0),MATCH($BQ$101,$A$102:$H$102,0))*고양시_Modal_split!D$3 * 0.01</f>
        <v>0.20426426060435959</v>
      </c>
      <c r="BS106" s="207">
        <f>INDEX($A$102:$H$115,MATCH($L106,$B$102:$B$115,0),MATCH($BQ$101,$A$102:$H$102,0))*고양시_Modal_split!E$3 * 0.01</f>
        <v>2.4713239269377119E-2</v>
      </c>
      <c r="BT106" s="207">
        <f>INDEX($A$102:$H$115,MATCH($L106,$B$102:$B$115,0),MATCH($BQ$101,$A$102:$H$102,0))*고양시_Modal_split!F$3 * 0.01</f>
        <v>3.9827839033424989E-2</v>
      </c>
      <c r="BU106" s="207">
        <f>INDEX($A$102:$H$115,MATCH($L106,$B$102:$B$115,0),MATCH($BQ$101,$A$102:$H$102,0))*고양시_Modal_split!G$3 * 0.01</f>
        <v>3.9958137307252988E-3</v>
      </c>
      <c r="BV106" s="207">
        <f>INDEX($A$102:$H$115,MATCH($L106,$B$102:$B$115,0),MATCH($BQ$101,$A$102:$H$102,0))*고양시_Modal_split!H$3 * 0.01</f>
        <v>4.3432757942666299E-5</v>
      </c>
      <c r="BW106" s="207">
        <f>INDEX($A$102:$H$115,MATCH($L106,$B$102:$B$115,0),MATCH($BQ$101,$A$102:$H$102,0))*고양시_Modal_split!I$3 * 0.01</f>
        <v>1.2074306708061229E-2</v>
      </c>
      <c r="BX106" s="207">
        <f>INDEX($A$102:$H$115,MATCH($L106,$B$102:$B$115,0),MATCH($BQ$101,$A$102:$H$102,0))*고양시_Modal_split!J$3 * 0.01</f>
        <v>0.13220931517747622</v>
      </c>
      <c r="BY106" s="207">
        <f>INDEX($A$102:$H$115,MATCH($L106,$B$102:$B$115,0),MATCH($BQ$101,$A$102:$H$102,0))*고양시_Modal_split!K$3 * 0.01</f>
        <v>6.5149136913999442E-4</v>
      </c>
      <c r="BZ106" s="207">
        <f>INDEX($A$102:$H$115,MATCH($L106,$B$102:$B$115,0),MATCH($BQ$101,$A$102:$H$102,0))*고양시_Modal_split!L$3 * 0.01</f>
        <v>1.3116692898685221E-2</v>
      </c>
      <c r="CA106" s="207">
        <f>INDEX($A$102:$H$115,MATCH($L106,$B$102:$B$115,0),MATCH($BQ$101,$A$102:$H$102,0))*고양시_Modal_split!M$3 * 0.01</f>
        <v>9.989534326813247E-4</v>
      </c>
      <c r="CB106" s="207">
        <f>INDEX($A$102:$H$115,MATCH($L106,$B$102:$B$115,0),MATCH($BQ$101,$A$102:$H$102,0))*고양시_Modal_split!N$3 * 0.01</f>
        <v>4.3432757942666293E-4</v>
      </c>
      <c r="CC106" s="207">
        <f>INDEX($A$102:$H$115,MATCH($L106,$B$102:$B$115,0),MATCH($BQ$101,$A$102:$H$102,0))*고양시_Modal_split!O$3 * 0.01</f>
        <v>7.8178964296799327E-4</v>
      </c>
      <c r="CD106" s="207">
        <f>INDEX($A$102:$H$115,MATCH($L106,$B$102:$B$115,0),MATCH($BQ$101,$A$102:$H$102,0))*고양시_Modal_split!P$3 * 0.01</f>
        <v>0.43432757942666295</v>
      </c>
      <c r="CE106" s="304">
        <f t="shared" si="52"/>
        <v>4.1898457445319988</v>
      </c>
      <c r="CF106" s="304">
        <f t="shared" si="47"/>
        <v>703.74444773335699</v>
      </c>
      <c r="CG106" s="304">
        <f t="shared" si="47"/>
        <v>85.143651022810971</v>
      </c>
      <c r="CH106" s="304">
        <f t="shared" si="47"/>
        <v>137.21744813342301</v>
      </c>
      <c r="CI106" s="304">
        <f t="shared" si="47"/>
        <v>13.766636017747997</v>
      </c>
      <c r="CJ106" s="304">
        <f t="shared" si="47"/>
        <v>0.149637348019</v>
      </c>
      <c r="CK106" s="304">
        <f t="shared" si="47"/>
        <v>41.599182749281994</v>
      </c>
      <c r="CL106" s="304">
        <f t="shared" si="47"/>
        <v>455.496087369836</v>
      </c>
      <c r="CM106" s="304">
        <f t="shared" si="47"/>
        <v>2.2445602202849999</v>
      </c>
      <c r="CN106" s="304">
        <f t="shared" si="47"/>
        <v>45.190479101738006</v>
      </c>
      <c r="CO106" s="304">
        <f t="shared" si="47"/>
        <v>3.4416590044369992</v>
      </c>
      <c r="CP106" s="304">
        <f t="shared" si="47"/>
        <v>1.4963734801899999</v>
      </c>
      <c r="CQ106" s="304">
        <f t="shared" si="47"/>
        <v>2.6934722643419993</v>
      </c>
      <c r="CR106" s="304">
        <f t="shared" si="47"/>
        <v>1496.37348019</v>
      </c>
      <c r="CS106" s="305">
        <f t="shared" si="53"/>
        <v>0</v>
      </c>
      <c r="CV106" s="265"/>
      <c r="CW106" s="265" t="s">
        <v>672</v>
      </c>
      <c r="CX106" s="267">
        <f>INDEX($M$101:$Z$115,MATCH($CW106,$L$101:$L$115,0),MATCH(CX$102,$M$102:$Z$102,0))/INDEX(고양시_재차인원!$D$4:$H$35,MATCH("고양시",고양시_재차인원!$B$4:$B$35,0),MATCH($CX$101,고양시_재차인원!$D$4:$H$4,0))</f>
        <v>68.86409079933739</v>
      </c>
      <c r="CY106" s="267">
        <f>INDEX($M$101:$Z$115,MATCH($CW106,$L$101:$L$115,0),MATCH(CY$102,$M$102:$Z$102,0))/INDEX(고양시_재차인원!$K$4:$O$20,MATCH("경기도",고양시_재차인원!$K$4:$K$20,0),MATCH(CY$102,고양시_재차인원!$K$4:$O$4,0))</f>
        <v>5.6963176191482932E-4</v>
      </c>
      <c r="CZ106" s="267">
        <f>INDEX($M$101:$Z$115,MATCH($CW106,$L$101:$L$115,0),MATCH(CZ$102,$M$102:$Z$102,0))/INDEX(고양시_재차인원!$K$4:$O$20,MATCH("경기도",고양시_재차인원!$K$4:$K$20,0),MATCH(CZ$102,고양시_재차인원!$K$4:$O$4,0))</f>
        <v>0.15835762981232257</v>
      </c>
      <c r="DA106" s="267">
        <f>INDEX($M$101:$Z$115,MATCH($CW106,$L$101:$L$115,0),MATCH(DA$102,$M$102:$Z$102,0))/INDEX(고양시_재차인원!$D$4:$H$35,MATCH("고양시",고양시_재차인원!$B$4:$B$35,0),MATCH($CX$101,고양시_재차인원!$D$4:$H$4,0))</f>
        <v>4.422061539740568</v>
      </c>
      <c r="DB106" s="267">
        <f>INDEX($AA$101:$AN$115,MATCH($CW106,$L$101:$L$115,0),MATCH(DB$102,$AA$102:$AN$102,0))/INDEX(고양시_재차인원!$D$4:$H$35,MATCH("고양시",고양시_재차인원!$B$4:$B$35,0),MATCH($DB$101,고양시_재차인원!$D$4:$H$4,0))</f>
        <v>425.35880550966368</v>
      </c>
      <c r="DC106" s="267">
        <f>INDEX($AA$101:$AN$115,MATCH($CW106,$L$101:$L$115,0),MATCH(DC$102,$AA$102:$AN$102,0))/INDEX(고양시_재차인원!$K$4:$O$20,MATCH("경기도",고양시_재차인원!$K$4:$K$20,0),MATCH(DC$102,고양시_재차인원!$K$4:$O$4,0))</f>
        <v>4.429532543383516E-3</v>
      </c>
      <c r="DD106" s="267">
        <f>INDEX($AA$101:$AN$115,MATCH($CW106,$L$101:$L$115,0),MATCH(DD$102,$AA$102:$AN$102,0))/INDEX(고양시_재차인원!$K$4:$O$20,MATCH("경기도",고양시_재차인원!$K$4:$K$20,0),MATCH(DD$102,고양시_재차인원!$K$4:$O$4,0))</f>
        <v>1.2314100470606175</v>
      </c>
      <c r="DE106" s="267">
        <f>INDEX($AA$101:$AN$115,MATCH($CW106,$L$101:$L$115,0),MATCH(DE$102,$AA$102:$AN$102,0))/INDEX(고양시_재차인원!$D$4:$H$35,MATCH("고양시",고양시_재차인원!$B$4:$B$35,0),MATCH($DB$101,고양시_재차인원!$D$4:$H$4,0))</f>
        <v>27.314131248972664</v>
      </c>
      <c r="DF106" s="267">
        <f>INDEX($AO$101:$BB$115,MATCH($CW106,$L$101:$L$115,0),MATCH(DF$102,$AO$102:$BB$102,0))/INDEX(고양시_재차인원!$D$4:$H$35,MATCH("고양시",고양시_재차인원!$B$4:$B$35,0),MATCH($DF$101,고양시_재차인원!$D$4:$H$4,0))</f>
        <v>20.449532877246433</v>
      </c>
      <c r="DG106" s="267">
        <f>INDEX($AO$101:$BB$115,MATCH($CW106,$L$101:$L$115,0),MATCH(DG$102,$AO$102:$BB$102,0))/INDEX(고양시_재차인원!$K$4:$O$20,MATCH("경기도",고양시_재차인원!$K$4:$K$20,0),MATCH(DG$102,고양시_재차인원!$K$4:$O$4,0))</f>
        <v>1.9634059405461313E-4</v>
      </c>
      <c r="DH106" s="267">
        <f>INDEX($AO$101:$BB$115,MATCH($CW106,$L$101:$L$115,0),MATCH(DH$102,$AO$102:$BB$102,0))/INDEX(고양시_재차인원!$K$4:$O$20,MATCH("경기도",고양시_재차인원!$K$4:$K$20,0),MATCH(DH$102,고양시_재차인원!$K$4:$O$4,0))</f>
        <v>5.4582685147182453E-2</v>
      </c>
      <c r="DI106" s="267">
        <f>INDEX($AO$101:$BB$115,MATCH($CW106,$L$101:$L$115,0),MATCH(DI$102,$AO$102:$BB$102,0))/INDEX(고양시_재차인원!$D$4:$H$35,MATCH("고양시",고양시_재차인원!$B$4:$B$35,0),MATCH($DF$101,고양시_재차인원!$D$4:$H$4,0))</f>
        <v>1.3131530786579679</v>
      </c>
      <c r="DJ106" s="267">
        <f>INDEX($BC$101:$BP$115,MATCH($CW106,$L$101:$L$115,0),MATCH(DJ$102,$BC$102:$BP$102,0))/INDEX(고양시_재차인원!$D$4:$H$35,MATCH("고양시",고양시_재차인원!$B$4:$B$35,0),MATCH($DJ$101,고양시_재차인원!$D$4:$H$4,0))</f>
        <v>5.3009756212204315E-2</v>
      </c>
      <c r="DK106" s="267">
        <f>INDEX($BC$101:$BP$115,MATCH($CW106,$L$101:$L$115,0),MATCH(DK$102,$BC$102:$BP$102,0))/INDEX(고양시_재차인원!$K$4:$O$20,MATCH("경기도",고양시_재차인원!$K$4:$K$20,0),MATCH(DK$102,고양시_재차인원!$K$4:$O$4,0))</f>
        <v>5.3244906862268165E-7</v>
      </c>
      <c r="DL106" s="267">
        <f>INDEX($BC$101:$BP$115,MATCH($CW106,$L$101:$L$115,0),MATCH(DL$102,$BC$102:$BP$102,0))/INDEX(고양시_재차인원!$K$4:$O$20,MATCH("경기도",고양시_재차인원!$K$4:$K$20,0),MATCH(DL$102,고양시_재차인원!$K$4:$O$4,0))</f>
        <v>1.4802084107710551E-4</v>
      </c>
      <c r="DM106" s="267">
        <f>INDEX($BC$101:$BP$115,MATCH($CW106,$L$101:$L$115,0),MATCH(DM$102,$BC$102:$BP$102,0))/INDEX(고양시_재차인원!$D$4:$H$35,MATCH("고양시",고양시_재차인원!$B$4:$B$35,0),MATCH($DJ$101,고양시_재차인원!$D$4:$H$4,0))</f>
        <v>3.4039860463716144E-3</v>
      </c>
      <c r="DN106" s="267">
        <f>INDEX($BQ$101:$CD$115,MATCH($CW106,$L$101:$L$115,0),MATCH(DN$102,$BQ$102:$CD$102,0))/INDEX(고양시_재차인원!$D$4:$H$35,MATCH("고양시",고양시_재차인원!$B$4:$B$35,0),MATCH($DN$101,고양시_재차인원!$D$4:$H$4,0))</f>
        <v>0.16211449254314253</v>
      </c>
      <c r="DO106" s="267">
        <f>INDEX($BQ$101:$CD$115,MATCH($CW106,$L$101:$L$115,0),MATCH(DO$102,$BQ$102:$CD$102,0))/INDEX(고양시_재차인원!$K$4:$O$20,MATCH("경기도",고양시_재차인원!$K$4:$K$20,0),MATCH(DO$102,고양시_재차인원!$K$4:$O$4,0))</f>
        <v>1.5086056944309239E-6</v>
      </c>
      <c r="DP106" s="267">
        <f>INDEX($BQ$101:$CD$115,MATCH($CW106,$L$101:$L$115,0),MATCH(DP$102,$BQ$102:$CD$102,0))/INDEX(고양시_재차인원!$K$4:$O$20,MATCH("경기도",고양시_재차인원!$K$4:$K$20,0),MATCH(DP$102,고양시_재차인원!$K$4:$O$4,0))</f>
        <v>4.1939238305179681E-4</v>
      </c>
      <c r="DQ106" s="267">
        <f>INDEX($BQ$101:$CD$115,MATCH($CW106,$L$101:$L$115,0),MATCH(DQ$102,$BQ$102:$CD$102,0))/INDEX(고양시_재차인원!$D$4:$H$35,MATCH("고양시",고양시_재차인원!$B$4:$B$35,0),MATCH($DN$101,고양시_재차인원!$D$4:$H$4,0))</f>
        <v>1.0410073729115255E-2</v>
      </c>
      <c r="DR106" s="270">
        <f t="shared" si="54"/>
        <v>514.88755343500281</v>
      </c>
      <c r="DS106" s="270">
        <f t="shared" si="48"/>
        <v>5.1975459541160124E-3</v>
      </c>
      <c r="DT106" s="270">
        <f t="shared" si="48"/>
        <v>1.4449177752442515</v>
      </c>
      <c r="DU106" s="270">
        <f t="shared" si="48"/>
        <v>33.063159927146685</v>
      </c>
      <c r="DW106" s="278"/>
      <c r="DX106" s="278" t="s">
        <v>672</v>
      </c>
      <c r="DY106" s="281">
        <f t="shared" si="55"/>
        <v>547.95071336214949</v>
      </c>
      <c r="DZ106" s="281">
        <f t="shared" si="56"/>
        <v>1.4501153211983675</v>
      </c>
      <c r="EB106" s="278"/>
      <c r="EC106" s="278" t="s">
        <v>672</v>
      </c>
      <c r="ED106" s="281">
        <f t="shared" si="57"/>
        <v>547.95071336214949</v>
      </c>
      <c r="EE106" s="281">
        <f t="shared" si="49"/>
        <v>1.4501153211983675</v>
      </c>
      <c r="EL106" s="306" t="s">
        <v>12</v>
      </c>
      <c r="EM106" s="306" t="s">
        <v>360</v>
      </c>
      <c r="EN106" s="306">
        <v>6559.1377000000002</v>
      </c>
      <c r="EO106" s="306">
        <v>9.7934096505675777E-2</v>
      </c>
      <c r="EP106" s="307">
        <v>849104</v>
      </c>
      <c r="EQ106" s="308">
        <f t="shared" si="58"/>
        <v>20.38660722508374</v>
      </c>
      <c r="ER106" s="308">
        <f t="shared" si="59"/>
        <v>5.3951807641518017E-2</v>
      </c>
      <c r="ET106" s="420" t="s">
        <v>12</v>
      </c>
      <c r="EU106" s="420" t="s">
        <v>360</v>
      </c>
      <c r="EV106" s="420">
        <v>6559.1377000000002</v>
      </c>
      <c r="EW106" s="420">
        <v>9.7934096505675777E-2</v>
      </c>
      <c r="EX106" s="421">
        <v>849104</v>
      </c>
      <c r="EY106" s="422">
        <f t="shared" si="60"/>
        <v>19.805588919168855</v>
      </c>
      <c r="EZ106" s="422">
        <f t="shared" si="50"/>
        <v>5.2414181123734756E-2</v>
      </c>
      <c r="FA106">
        <v>0</v>
      </c>
      <c r="FD106" s="306" t="s">
        <v>12</v>
      </c>
      <c r="FE106" s="306" t="s">
        <v>360</v>
      </c>
      <c r="FF106" s="306">
        <v>6559.1377000000002</v>
      </c>
      <c r="FG106" s="306">
        <v>9.7934096505675777E-2</v>
      </c>
      <c r="FH106" s="307">
        <v>849104</v>
      </c>
      <c r="FI106" s="308">
        <f t="shared" si="61"/>
        <v>19.805588919168855</v>
      </c>
      <c r="FJ106" s="308">
        <f t="shared" si="51"/>
        <v>5.2414181123734756E-2</v>
      </c>
      <c r="FL106" s="101"/>
      <c r="FM106" s="101"/>
      <c r="FN106" s="101"/>
      <c r="FO106" s="101"/>
      <c r="FP106" s="374"/>
      <c r="FQ106" s="404"/>
      <c r="FR106" s="404"/>
    </row>
    <row r="107" spans="1:174" ht="25">
      <c r="A107" s="205"/>
      <c r="B107" s="205" t="s">
        <v>674</v>
      </c>
      <c r="C107" s="400">
        <f>$AB65*KTDB_TripDistribution_2025!L$12 * (1+KTDB_발생량도착량_증가율!$C$8*2)</f>
        <v>287.02394500273596</v>
      </c>
      <c r="D107" s="400">
        <f>$AB65*KTDB_TripDistribution_2025!M$12 * (1+KTDB_발생량도착량_증가율!$C$8*2)</f>
        <v>2231.9364721625807</v>
      </c>
      <c r="E107" s="400">
        <f>$AB65*KTDB_TripDistribution_2025!N$12 * (1+KTDB_발생량도착량_증가율!$C$8*2)</f>
        <v>98.931372225978208</v>
      </c>
      <c r="F107" s="400">
        <f>$AB65*KTDB_TripDistribution_2025!O$12 * (1+KTDB_발생량도착량_증가율!$C$8*2)</f>
        <v>0.26828846705350118</v>
      </c>
      <c r="G107" s="400">
        <f>$AB65*KTDB_TripDistribution_2025!P$12 * (1+KTDB_발생량도착량_증가율!$C$8*2)</f>
        <v>0.76015065665158299</v>
      </c>
      <c r="H107" s="400">
        <f>$AB65*KTDB_TripDistribution_2025!Q$12 * (1+KTDB_발생량도착량_증가율!$C$8*2)</f>
        <v>2618.920228515</v>
      </c>
      <c r="J107" s="230">
        <f t="shared" si="46"/>
        <v>2618.920228515</v>
      </c>
      <c r="K107" s="206"/>
      <c r="L107" s="206" t="s">
        <v>674</v>
      </c>
      <c r="M107" s="206">
        <f>INDEX($A$102:$H$115,MATCH($L107,$B$102:$B$115,0),MATCH($M$101,$A$102:$H$102,0))*고양시_Modal_split!C$3 * 0.01</f>
        <v>0.80366704600766059</v>
      </c>
      <c r="N107" s="206">
        <f>INDEX($A$102:$H$115,MATCH($L107,$B$102:$B$115,0),MATCH($M$101,$A$102:$H$102,0))*고양시_Modal_split!D$3 * 0.01</f>
        <v>134.98736133478673</v>
      </c>
      <c r="O107" s="206">
        <f>INDEX($A$102:$H$115,MATCH($L107,$B$102:$B$115,0),MATCH($M$101,$A$102:$H$102,0))*고양시_Modal_split!E$3 * 0.01</f>
        <v>16.331662470655676</v>
      </c>
      <c r="P107" s="206">
        <f>INDEX($A$102:$H$115,MATCH($L107,$B$102:$B$115,0),MATCH($M$101,$A$102:$H$102,0))*고양시_Modal_split!F$3 * 0.01</f>
        <v>26.320095756750888</v>
      </c>
      <c r="Q107" s="206">
        <f>INDEX($A$102:$H$115,MATCH($L107,$B$102:$B$115,0),MATCH($M$101,$A$102:$H$102,0))*고양시_Modal_split!G$3 * 0.01</f>
        <v>2.6406202940251706</v>
      </c>
      <c r="R107" s="206">
        <f>INDEX($A$102:$H$115,MATCH($L107,$B$102:$B$115,0),MATCH($M$101,$A$102:$H$102,0))*고양시_Modal_split!H$3 * 0.01</f>
        <v>2.8702394500273596E-2</v>
      </c>
      <c r="S107" s="206">
        <f>INDEX($A$102:$H$115,MATCH($L107,$B$102:$B$115,0),MATCH($M$101,$A$102:$H$102,0))*고양시_Modal_split!I$3 * 0.01</f>
        <v>7.9792656710760594</v>
      </c>
      <c r="T107" s="206">
        <f>INDEX($A$102:$H$115,MATCH($L107,$B$102:$B$115,0),MATCH($M$101,$A$102:$H$102,0))*고양시_Modal_split!J$3 * 0.01</f>
        <v>87.37008885883283</v>
      </c>
      <c r="U107" s="206">
        <f>INDEX($A$102:$H$115,MATCH($L107,$B$102:$B$115,0),MATCH($M$101,$A$102:$H$102,0))*고양시_Modal_split!K$3 * 0.01</f>
        <v>0.43053591750410392</v>
      </c>
      <c r="V107" s="206">
        <f>INDEX($A$102:$H$115,MATCH($L107,$B$102:$B$115,0),MATCH($M$101,$A$102:$H$102,0))*고양시_Modal_split!L$3 * 0.01</f>
        <v>8.6681231390826259</v>
      </c>
      <c r="W107" s="206">
        <f>INDEX($A$102:$H$115,MATCH($L107,$B$102:$B$115,0),MATCH($M$101,$A$102:$H$102,0))*고양시_Modal_split!M$3 * 0.01</f>
        <v>0.66015507350629266</v>
      </c>
      <c r="X107" s="206">
        <f>INDEX($A$102:$H$115,MATCH($L107,$B$102:$B$115,0),MATCH($M$101,$A$102:$H$102,0))*고양시_Modal_split!N$3 * 0.01</f>
        <v>0.28702394500273598</v>
      </c>
      <c r="Y107" s="206">
        <f>INDEX($A$102:$H$115,MATCH($L107,$B$102:$B$115,0),MATCH($M$101,$A$102:$H$102,0))*고양시_Modal_split!O$3 * 0.01</f>
        <v>0.51664310100492472</v>
      </c>
      <c r="Z107" s="209">
        <f>INDEX($A$102:$H$115,MATCH($L107,$B$102:$B$115,0),MATCH($M$101,$A$102:$H$102,0))*고양시_Modal_split!P$3 * 0.01</f>
        <v>287.02394500273596</v>
      </c>
      <c r="AA107" s="207">
        <f>INDEX($A$102:$H$115,MATCH($L107,$B$102:$B$115,0),MATCH($AA$101,$A$102:$H$102,0))*고양시_Modal_split!C$3 * 0.01</f>
        <v>6.2494221220552255</v>
      </c>
      <c r="AB107" s="207">
        <f>INDEX($A$102:$H$115,MATCH($L107,$B$102:$B$115,0),MATCH($AA$101,$A$102:$H$102,0))*고양시_Modal_split!D$3 * 0.01</f>
        <v>1049.6797228580617</v>
      </c>
      <c r="AC107" s="207">
        <f>INDEX($A$102:$H$115,MATCH($L107,$B$102:$B$115,0),MATCH($AA$101,$A$102:$H$102,0))*고양시_Modal_split!E$3 * 0.01</f>
        <v>126.99718526605083</v>
      </c>
      <c r="AD107" s="207">
        <f>INDEX($A$102:$H$115,MATCH($L107,$B$102:$B$115,0),MATCH($AA$101,$A$102:$H$102,0))*고양시_Modal_split!F$3 * 0.01</f>
        <v>204.66857449730867</v>
      </c>
      <c r="AE107" s="207">
        <f>INDEX($A$102:$H$115,MATCH($L107,$B$102:$B$115,0),MATCH($AA$101,$A$102:$H$102,0))*고양시_Modal_split!G$3 * 0.01</f>
        <v>20.533815543895738</v>
      </c>
      <c r="AF107" s="207">
        <f>INDEX($A$102:$H$115,MATCH($L107,$B$102:$B$115,0),MATCH($AA$101,$A$102:$H$102,0))*고양시_Modal_split!H$3 * 0.01</f>
        <v>0.22319364721625806</v>
      </c>
      <c r="AG107" s="207">
        <f>INDEX($A$102:$H$115,MATCH($L107,$B$102:$B$115,0),MATCH($AA$101,$A$102:$H$102,0))*고양시_Modal_split!I$3 * 0.01</f>
        <v>62.047833926119736</v>
      </c>
      <c r="AH107" s="207">
        <f>INDEX($A$102:$H$115,MATCH($L107,$B$102:$B$115,0),MATCH($AA$101,$A$102:$H$102,0))*고양시_Modal_split!J$3 * 0.01</f>
        <v>679.40146212628952</v>
      </c>
      <c r="AI107" s="207">
        <f>INDEX($A$102:$H$115,MATCH($L107,$B$102:$B$115,0),MATCH($AA$101,$A$102:$H$102,0))*고양시_Modal_split!K$3 * 0.01</f>
        <v>3.3479047082438713</v>
      </c>
      <c r="AJ107" s="207">
        <f>INDEX($A$102:$H$115,MATCH($L107,$B$102:$B$115,0),MATCH($AA$101,$A$102:$H$102,0))*고양시_Modal_split!L$3 * 0.01</f>
        <v>67.404481459309935</v>
      </c>
      <c r="AK107" s="207">
        <f>INDEX($A$102:$H$115,MATCH($L107,$B$102:$B$115,0),MATCH($AA$101,$A$102:$H$102,0))*고양시_Modal_split!M$3 * 0.01</f>
        <v>5.1334538859739345</v>
      </c>
      <c r="AL107" s="207">
        <f>INDEX($A$102:$H$115,MATCH($L107,$B$102:$B$115,0),MATCH($AA$101,$A$102:$H$102,0))*고양시_Modal_split!N$3 * 0.01</f>
        <v>2.2319364721625807</v>
      </c>
      <c r="AM107" s="207">
        <f>INDEX($A$102:$H$115,MATCH($L107,$B$102:$B$115,0),MATCH($AA$101,$A$102:$H$102,0))*고양시_Modal_split!O$3 * 0.01</f>
        <v>4.0174856498926452</v>
      </c>
      <c r="AN107" s="207">
        <f>INDEX($A$102:$H$115,MATCH($L107,$B$102:$B$115,0),MATCH($AA$101,$A$102:$H$102,0))*고양시_Modal_split!P$3 * 0.01</f>
        <v>2231.9364721625807</v>
      </c>
      <c r="AO107" s="303">
        <f>INDEX($A$102:$H$115,MATCH($L107,$B$102:$B$115,0),MATCH($AO$101,$A$102:$H$102,0))*고양시_Modal_split!C$3 * 0.01</f>
        <v>0.27700784223273894</v>
      </c>
      <c r="AP107" s="303">
        <f>INDEX($A$102:$H$115,MATCH($L107,$B$102:$B$115,0),MATCH($AO$101,$A$102:$H$102,0))*고양시_Modal_split!D$3 * 0.01</f>
        <v>46.527424357877557</v>
      </c>
      <c r="AQ107" s="303">
        <f>INDEX($A$102:$H$115,MATCH($L107,$B$102:$B$115,0),MATCH($AO$101,$A$102:$H$102,0))*고양시_Modal_split!E$3 * 0.01</f>
        <v>5.6291950796581594</v>
      </c>
      <c r="AR107" s="303">
        <f>INDEX($A$102:$H$115,MATCH($L107,$B$102:$B$115,0),MATCH($AO$101,$A$102:$H$102,0))*고양시_Modal_split!F$3 * 0.01</f>
        <v>9.0720068331222006</v>
      </c>
      <c r="AS107" s="303">
        <f>INDEX($A$102:$H$115,MATCH($L107,$B$102:$B$115,0),MATCH($AO$101,$A$102:$H$102,0))*고양시_Modal_split!G$3 * 0.01</f>
        <v>0.91016862447899938</v>
      </c>
      <c r="AT107" s="303">
        <f>INDEX($A$102:$H$115,MATCH($L107,$B$102:$B$115,0),MATCH($AO$101,$A$102:$H$102,0))*고양시_Modal_split!H$3 * 0.01</f>
        <v>9.8931372225978219E-3</v>
      </c>
      <c r="AU107" s="303">
        <f>INDEX($A$102:$H$115,MATCH($L107,$B$102:$B$115,0),MATCH($AO$101,$A$102:$H$102,0))*고양시_Modal_split!I$3 * 0.01</f>
        <v>2.750292147882194</v>
      </c>
      <c r="AV107" s="303">
        <f>INDEX($A$102:$H$115,MATCH($L107,$B$102:$B$115,0),MATCH($AO$101,$A$102:$H$102,0))*고양시_Modal_split!J$3 * 0.01</f>
        <v>30.114709705587767</v>
      </c>
      <c r="AW107" s="303">
        <f>INDEX($A$102:$H$115,MATCH($L107,$B$102:$B$115,0),MATCH($AO$101,$A$102:$H$102,0))*고양시_Modal_split!K$3 * 0.01</f>
        <v>0.1483970583389673</v>
      </c>
      <c r="AX107" s="303">
        <f>INDEX($A$102:$H$115,MATCH($L107,$B$102:$B$115,0),MATCH($AO$101,$A$102:$H$102,0))*고양시_Modal_split!L$3 * 0.01</f>
        <v>2.9877274412245418</v>
      </c>
      <c r="AY107" s="303">
        <f>INDEX($A$102:$H$115,MATCH($L107,$B$102:$B$115,0),MATCH($AO$101,$A$102:$H$102,0))*고양시_Modal_split!M$3 * 0.01</f>
        <v>0.22754215611974984</v>
      </c>
      <c r="AZ107" s="303">
        <f>INDEX($A$102:$H$115,MATCH($L107,$B$102:$B$115,0),MATCH($AO$101,$A$102:$H$102,0))*고양시_Modal_split!N$3 * 0.01</f>
        <v>9.8931372225978226E-2</v>
      </c>
      <c r="BA107" s="207">
        <f>INDEX($A$102:$H$115,MATCH($L107,$B$102:$B$115,0),MATCH($AO$101,$A$102:$H$102,0))*고양시_Modal_split!O$3 * 0.01</f>
        <v>0.17807647000676077</v>
      </c>
      <c r="BB107" s="207">
        <f>INDEX($A$102:$H$115,MATCH($L107,$B$102:$B$115,0),MATCH($AO$101,$A$102:$H$102,0))*고양시_Modal_split!P$3 * 0.01</f>
        <v>98.931372225978208</v>
      </c>
      <c r="BC107" s="207">
        <f>INDEX($A$102:$H$115,MATCH($L107,$B$102:$B$115,0),MATCH($BC$101,$A$102:$H$102,0))*고양시_Modal_split!C$3 * 0.01</f>
        <v>7.5120770774980325E-4</v>
      </c>
      <c r="BD107" s="207">
        <f>INDEX($A$102:$H$115,MATCH($L107,$B$102:$B$115,0),MATCH($BC$101,$A$102:$H$102,0))*고양시_Modal_split!D$3 * 0.01</f>
        <v>0.1261760660552616</v>
      </c>
      <c r="BE107" s="207">
        <f>INDEX($A$102:$H$115,MATCH($L107,$B$102:$B$115,0),MATCH($BC$101,$A$102:$H$102,0))*고양시_Modal_split!E$3 * 0.01</f>
        <v>1.5265613775344217E-2</v>
      </c>
      <c r="BF107" s="207">
        <f>INDEX($A$102:$H$115,MATCH($L107,$B$102:$B$115,0),MATCH($BC$101,$A$102:$H$102,0))*고양시_Modal_split!F$3 * 0.01</f>
        <v>2.4602052428806056E-2</v>
      </c>
      <c r="BG107" s="207">
        <f>INDEX($A$102:$H$115,MATCH($L107,$B$102:$B$115,0),MATCH($BC$101,$A$102:$H$102,0))*고양시_Modal_split!G$3 * 0.01</f>
        <v>2.4682538968922108E-3</v>
      </c>
      <c r="BH107" s="207">
        <f>INDEX($A$102:$H$115,MATCH($L107,$B$102:$B$115,0),MATCH($BC$101,$A$102:$H$102,0))*고양시_Modal_split!H$3 * 0.01</f>
        <v>2.6828846705350121E-5</v>
      </c>
      <c r="BI107" s="207">
        <f>INDEX($A$102:$H$115,MATCH($L107,$B$102:$B$115,0),MATCH($BC$101,$A$102:$H$102,0))*고양시_Modal_split!I$3 * 0.01</f>
        <v>7.4584193840873322E-3</v>
      </c>
      <c r="BJ107" s="207">
        <f>INDEX($A$102:$H$115,MATCH($L107,$B$102:$B$115,0),MATCH($BC$101,$A$102:$H$102,0))*고양시_Modal_split!J$3 * 0.01</f>
        <v>8.1667009371085758E-2</v>
      </c>
      <c r="BK107" s="207">
        <f>INDEX($A$102:$H$115,MATCH($L107,$B$102:$B$115,0),MATCH($BC$101,$A$102:$H$102,0))*고양시_Modal_split!K$3 * 0.01</f>
        <v>4.0243270058025173E-4</v>
      </c>
      <c r="BL107" s="207">
        <f>INDEX($A$102:$H$115,MATCH($L107,$B$102:$B$115,0),MATCH($BC$101,$A$102:$H$102,0))*고양시_Modal_split!L$3 * 0.01</f>
        <v>8.102311705015736E-3</v>
      </c>
      <c r="BM107" s="207">
        <f>INDEX($A$102:$H$115,MATCH($L107,$B$102:$B$115,0),MATCH($BC$101,$A$102:$H$102,0))*고양시_Modal_split!M$3 * 0.01</f>
        <v>6.170634742230527E-4</v>
      </c>
      <c r="BN107" s="207">
        <f>INDEX($A$102:$H$115,MATCH($L107,$B$102:$B$115,0),MATCH($BC$101,$A$102:$H$102,0))*고양시_Modal_split!N$3 * 0.01</f>
        <v>2.6828846705350117E-4</v>
      </c>
      <c r="BO107" s="207">
        <f>INDEX($A$102:$H$115,MATCH($L107,$B$102:$B$115,0),MATCH($BC$101,$A$102:$H$102,0))*고양시_Modal_split!O$3 * 0.01</f>
        <v>4.8291924069630214E-4</v>
      </c>
      <c r="BP107" s="207">
        <f>INDEX($A$102:$H$115,MATCH($L107,$B$102:$B$115,0),MATCH($BC$101,$A$102:$H$102,0))*고양시_Modal_split!P$3 * 0.01</f>
        <v>0.26828846705350118</v>
      </c>
      <c r="BQ107" s="207">
        <f>INDEX($A$102:$H$115,MATCH($L107,$B$102:$B$115,0),MATCH($BQ$101,$A$102:$H$102,0))*고양시_Modal_split!C$3 * 0.01</f>
        <v>2.1284218386244322E-3</v>
      </c>
      <c r="BR107" s="207">
        <f>INDEX($A$102:$H$115,MATCH($L107,$B$102:$B$115,0),MATCH($BQ$101,$A$102:$H$102,0))*고양시_Modal_split!D$3 * 0.01</f>
        <v>0.35749885382323948</v>
      </c>
      <c r="BS107" s="207">
        <f>INDEX($A$102:$H$115,MATCH($L107,$B$102:$B$115,0),MATCH($BQ$101,$A$102:$H$102,0))*고양시_Modal_split!E$3 * 0.01</f>
        <v>4.3252572363475066E-2</v>
      </c>
      <c r="BT107" s="207">
        <f>INDEX($A$102:$H$115,MATCH($L107,$B$102:$B$115,0),MATCH($BQ$101,$A$102:$H$102,0))*고양시_Modal_split!F$3 * 0.01</f>
        <v>6.9705815214950159E-2</v>
      </c>
      <c r="BU107" s="207">
        <f>INDEX($A$102:$H$115,MATCH($L107,$B$102:$B$115,0),MATCH($BQ$101,$A$102:$H$102,0))*고양시_Modal_split!G$3 * 0.01</f>
        <v>6.9933860411945624E-3</v>
      </c>
      <c r="BV107" s="207">
        <f>INDEX($A$102:$H$115,MATCH($L107,$B$102:$B$115,0),MATCH($BQ$101,$A$102:$H$102,0))*고양시_Modal_split!H$3 * 0.01</f>
        <v>7.6015065665158298E-5</v>
      </c>
      <c r="BW107" s="207">
        <f>INDEX($A$102:$H$115,MATCH($L107,$B$102:$B$115,0),MATCH($BQ$101,$A$102:$H$102,0))*고양시_Modal_split!I$3 * 0.01</f>
        <v>2.1132188254914003E-2</v>
      </c>
      <c r="BX107" s="207">
        <f>INDEX($A$102:$H$115,MATCH($L107,$B$102:$B$115,0),MATCH($BQ$101,$A$102:$H$102,0))*고양시_Modal_split!J$3 * 0.01</f>
        <v>0.23138985988474187</v>
      </c>
      <c r="BY107" s="207">
        <f>INDEX($A$102:$H$115,MATCH($L107,$B$102:$B$115,0),MATCH($BQ$101,$A$102:$H$102,0))*고양시_Modal_split!K$3 * 0.01</f>
        <v>1.1402259849773743E-3</v>
      </c>
      <c r="BZ107" s="207">
        <f>INDEX($A$102:$H$115,MATCH($L107,$B$102:$B$115,0),MATCH($BQ$101,$A$102:$H$102,0))*고양시_Modal_split!L$3 * 0.01</f>
        <v>2.2956549830877807E-2</v>
      </c>
      <c r="CA107" s="207">
        <f>INDEX($A$102:$H$115,MATCH($L107,$B$102:$B$115,0),MATCH($BQ$101,$A$102:$H$102,0))*고양시_Modal_split!M$3 * 0.01</f>
        <v>1.7483465102986406E-3</v>
      </c>
      <c r="CB107" s="207">
        <f>INDEX($A$102:$H$115,MATCH($L107,$B$102:$B$115,0),MATCH($BQ$101,$A$102:$H$102,0))*고양시_Modal_split!N$3 * 0.01</f>
        <v>7.6015065665158317E-4</v>
      </c>
      <c r="CC107" s="207">
        <f>INDEX($A$102:$H$115,MATCH($L107,$B$102:$B$115,0),MATCH($BQ$101,$A$102:$H$102,0))*고양시_Modal_split!O$3 * 0.01</f>
        <v>1.3682711819728494E-3</v>
      </c>
      <c r="CD107" s="207">
        <f>INDEX($A$102:$H$115,MATCH($L107,$B$102:$B$115,0),MATCH($BQ$101,$A$102:$H$102,0))*고양시_Modal_split!P$3 * 0.01</f>
        <v>0.7601506566515831</v>
      </c>
      <c r="CE107" s="304">
        <f t="shared" si="52"/>
        <v>7.3329766398419993</v>
      </c>
      <c r="CF107" s="304">
        <f t="shared" si="47"/>
        <v>1231.6781834706046</v>
      </c>
      <c r="CG107" s="304">
        <f t="shared" si="47"/>
        <v>149.01656100250349</v>
      </c>
      <c r="CH107" s="304">
        <f t="shared" si="47"/>
        <v>240.15498495482552</v>
      </c>
      <c r="CI107" s="304">
        <f t="shared" si="47"/>
        <v>24.094066102337997</v>
      </c>
      <c r="CJ107" s="304">
        <f t="shared" si="47"/>
        <v>0.26189202285150004</v>
      </c>
      <c r="CK107" s="304">
        <f t="shared" si="47"/>
        <v>72.805982352716995</v>
      </c>
      <c r="CL107" s="304">
        <f t="shared" si="47"/>
        <v>797.19931755996595</v>
      </c>
      <c r="CM107" s="304">
        <f t="shared" si="47"/>
        <v>3.9283803427724995</v>
      </c>
      <c r="CN107" s="304">
        <f t="shared" si="47"/>
        <v>79.091390901152991</v>
      </c>
      <c r="CO107" s="304">
        <f t="shared" si="47"/>
        <v>6.0235165255844993</v>
      </c>
      <c r="CP107" s="304">
        <f t="shared" si="47"/>
        <v>2.6189202285150004</v>
      </c>
      <c r="CQ107" s="304">
        <f t="shared" si="47"/>
        <v>4.7140564113269994</v>
      </c>
      <c r="CR107" s="304">
        <f t="shared" si="47"/>
        <v>2618.920228515</v>
      </c>
      <c r="CS107" s="305">
        <f t="shared" si="53"/>
        <v>0</v>
      </c>
      <c r="CV107" s="265"/>
      <c r="CW107" s="265" t="s">
        <v>674</v>
      </c>
      <c r="CX107" s="267">
        <f>INDEX($M$101:$Z$115,MATCH($CW107,$L$101:$L$115,0),MATCH(CX$102,$M$102:$Z$102,0))/INDEX(고양시_재차인원!$D$4:$H$35,MATCH("고양시",고양시_재차인원!$B$4:$B$35,0),MATCH($CX$101,고양시_재차인원!$D$4:$H$4,0))</f>
        <v>120.52442976320242</v>
      </c>
      <c r="CY107" s="267">
        <f>INDEX($M$101:$Z$115,MATCH($CW107,$L$101:$L$115,0),MATCH(CY$102,$M$102:$Z$102,0))/INDEX(고양시_재차인원!$K$4:$O$20,MATCH("경기도",고양시_재차인원!$K$4:$K$20,0),MATCH(CY$102,고양시_재차인원!$K$4:$O$4,0))</f>
        <v>9.9695708580318154E-4</v>
      </c>
      <c r="CZ107" s="267">
        <f>INDEX($M$101:$Z$115,MATCH($CW107,$L$101:$L$115,0),MATCH(CZ$102,$M$102:$Z$102,0))/INDEX(고양시_재차인원!$K$4:$O$20,MATCH("경기도",고양시_재차인원!$K$4:$K$20,0),MATCH(CZ$102,고양시_재차인원!$K$4:$O$4,0))</f>
        <v>0.27715406985328445</v>
      </c>
      <c r="DA107" s="267">
        <f>INDEX($M$101:$Z$115,MATCH($CW107,$L$101:$L$115,0),MATCH(DA$102,$M$102:$Z$102,0))/INDEX(고양시_재차인원!$D$4:$H$35,MATCH("고양시",고양시_재차인원!$B$4:$B$35,0),MATCH($CX$101,고양시_재차인원!$D$4:$H$4,0))</f>
        <v>7.7393956598952007</v>
      </c>
      <c r="DB107" s="267">
        <f>INDEX($AA$101:$AN$115,MATCH($CW107,$L$101:$L$115,0),MATCH(DB$102,$AA$102:$AN$102,0))/INDEX(고양시_재차인원!$D$4:$H$35,MATCH("고양시",고양시_재차인원!$B$4:$B$35,0),MATCH($DB$101,고양시_재차인원!$D$4:$H$4,0))</f>
        <v>744.45370415465379</v>
      </c>
      <c r="DC107" s="267">
        <f>INDEX($AA$101:$AN$115,MATCH($CW107,$L$101:$L$115,0),MATCH(DC$102,$AA$102:$AN$102,0))/INDEX(고양시_재차인원!$K$4:$O$20,MATCH("경기도",고양시_재차인원!$K$4:$K$20,0),MATCH(DC$102,고양시_재차인원!$K$4:$O$4,0))</f>
        <v>7.7524712475254623E-3</v>
      </c>
      <c r="DD107" s="267">
        <f>INDEX($AA$101:$AN$115,MATCH($CW107,$L$101:$L$115,0),MATCH(DD$102,$AA$102:$AN$102,0))/INDEX(고양시_재차인원!$K$4:$O$20,MATCH("경기도",고양시_재차인원!$K$4:$K$20,0),MATCH(DD$102,고양시_재차인원!$K$4:$O$4,0))</f>
        <v>2.1551870068120786</v>
      </c>
      <c r="DE107" s="267">
        <f>INDEX($AA$101:$AN$115,MATCH($CW107,$L$101:$L$115,0),MATCH(DE$102,$AA$102:$AN$102,0))/INDEX(고양시_재차인원!$D$4:$H$35,MATCH("고양시",고양시_재차인원!$B$4:$B$35,0),MATCH($DB$101,고양시_재차인원!$D$4:$H$4,0))</f>
        <v>47.804596779652435</v>
      </c>
      <c r="DF107" s="267">
        <f>INDEX($AO$101:$BB$115,MATCH($CW107,$L$101:$L$115,0),MATCH(DF$102,$AO$102:$BB$102,0))/INDEX(고양시_재차인원!$D$4:$H$35,MATCH("고양시",고양시_재차인원!$B$4:$B$35,0),MATCH($DF$101,고양시_재차인원!$D$4:$H$4,0))</f>
        <v>35.790326429136584</v>
      </c>
      <c r="DG107" s="267">
        <f>INDEX($AO$101:$BB$115,MATCH($CW107,$L$101:$L$115,0),MATCH(DG$102,$AO$102:$BB$102,0))/INDEX(고양시_재차인원!$K$4:$O$20,MATCH("경기도",고양시_재차인원!$K$4:$K$20,0),MATCH(DG$102,고양시_재차인원!$K$4:$O$4,0))</f>
        <v>3.436310254462599E-4</v>
      </c>
      <c r="DH107" s="267">
        <f>INDEX($AO$101:$BB$115,MATCH($CW107,$L$101:$L$115,0),MATCH(DH$102,$AO$102:$BB$102,0))/INDEX(고양시_재차인원!$K$4:$O$20,MATCH("경기도",고양시_재차인원!$K$4:$K$20,0),MATCH(DH$102,고양시_재차인원!$K$4:$O$4,0))</f>
        <v>9.5529425074060231E-2</v>
      </c>
      <c r="DI107" s="267">
        <f>INDEX($AO$101:$BB$115,MATCH($CW107,$L$101:$L$115,0),MATCH(DI$102,$AO$102:$BB$102,0))/INDEX(고양시_재차인원!$D$4:$H$35,MATCH("고양시",고양시_재차인원!$B$4:$B$35,0),MATCH($DF$101,고양시_재차인원!$D$4:$H$4,0))</f>
        <v>2.2982518778650323</v>
      </c>
      <c r="DJ107" s="267">
        <f>INDEX($BC$101:$BP$115,MATCH($CW107,$L$101:$L$115,0),MATCH(DJ$102,$BC$102:$BP$102,0))/INDEX(고양시_재차인원!$D$4:$H$35,MATCH("고양시",고양시_재차인원!$B$4:$B$35,0),MATCH($DJ$101,고양시_재차인원!$D$4:$H$4,0))</f>
        <v>9.2776519158280585E-2</v>
      </c>
      <c r="DK107" s="267">
        <f>INDEX($BC$101:$BP$115,MATCH($CW107,$L$101:$L$115,0),MATCH(DK$102,$BC$102:$BP$102,0))/INDEX(고양시_재차인원!$K$4:$O$20,MATCH("경기도",고양시_재차인원!$K$4:$K$20,0),MATCH(DK$102,고양시_재차인원!$K$4:$O$4,0))</f>
        <v>9.3188074697291153E-7</v>
      </c>
      <c r="DL107" s="267">
        <f>INDEX($BC$101:$BP$115,MATCH($CW107,$L$101:$L$115,0),MATCH(DL$102,$BC$102:$BP$102,0))/INDEX(고양시_재차인원!$K$4:$O$20,MATCH("경기도",고양시_재차인원!$K$4:$K$20,0),MATCH(DL$102,고양시_재차인원!$K$4:$O$4,0))</f>
        <v>2.5906284765846936E-4</v>
      </c>
      <c r="DM107" s="267">
        <f>INDEX($BC$101:$BP$115,MATCH($CW107,$L$101:$L$115,0),MATCH(DM$102,$BC$102:$BP$102,0))/INDEX(고양시_재차인원!$D$4:$H$35,MATCH("고양시",고양시_재차인원!$B$4:$B$35,0),MATCH($DJ$101,고양시_재차인원!$D$4:$H$4,0))</f>
        <v>5.9575821360409818E-3</v>
      </c>
      <c r="DN107" s="267">
        <f>INDEX($BQ$101:$CD$115,MATCH($CW107,$L$101:$L$115,0),MATCH(DN$102,$BQ$102:$CD$102,0))/INDEX(고양시_재차인원!$D$4:$H$35,MATCH("고양시",고양시_재차인원!$B$4:$B$35,0),MATCH($DN$101,고양시_재차인원!$D$4:$H$4,0))</f>
        <v>0.28372924906606306</v>
      </c>
      <c r="DO107" s="267">
        <f>INDEX($BQ$101:$CD$115,MATCH($CW107,$L$101:$L$115,0),MATCH(DO$102,$BQ$102:$CD$102,0))/INDEX(고양시_재차인원!$K$4:$O$20,MATCH("경기도",고양시_재차인원!$K$4:$K$20,0),MATCH(DO$102,고양시_재차인원!$K$4:$O$4,0))</f>
        <v>2.6403287830899027E-6</v>
      </c>
      <c r="DP107" s="267">
        <f>INDEX($BQ$101:$CD$115,MATCH($CW107,$L$101:$L$115,0),MATCH(DP$102,$BQ$102:$CD$102,0))/INDEX(고양시_재차인원!$K$4:$O$20,MATCH("경기도",고양시_재차인원!$K$4:$K$20,0),MATCH(DP$102,고양시_재차인원!$K$4:$O$4,0))</f>
        <v>7.3401140169899277E-4</v>
      </c>
      <c r="DQ107" s="267">
        <f>INDEX($BQ$101:$CD$115,MATCH($CW107,$L$101:$L$115,0),MATCH(DQ$102,$BQ$102:$CD$102,0))/INDEX(고양시_재차인원!$D$4:$H$35,MATCH("고양시",고양시_재차인원!$B$4:$B$35,0),MATCH($DN$101,고양시_재차인원!$D$4:$H$4,0))</f>
        <v>1.8219483992760164E-2</v>
      </c>
      <c r="DR107" s="270">
        <f t="shared" si="54"/>
        <v>901.14496611521713</v>
      </c>
      <c r="DS107" s="270">
        <f t="shared" si="48"/>
        <v>9.0966315683049664E-3</v>
      </c>
      <c r="DT107" s="270">
        <f t="shared" si="48"/>
        <v>2.528863575988781</v>
      </c>
      <c r="DU107" s="270">
        <f t="shared" si="48"/>
        <v>57.866421383541471</v>
      </c>
      <c r="DW107" s="278"/>
      <c r="DX107" s="278" t="s">
        <v>674</v>
      </c>
      <c r="DY107" s="281">
        <f t="shared" si="55"/>
        <v>959.01138749875861</v>
      </c>
      <c r="DZ107" s="281">
        <f t="shared" si="56"/>
        <v>2.5379602075570857</v>
      </c>
      <c r="EB107" s="278"/>
      <c r="EC107" s="278" t="s">
        <v>674</v>
      </c>
      <c r="ED107" s="281">
        <f t="shared" si="57"/>
        <v>959.01138749875861</v>
      </c>
      <c r="EE107" s="281">
        <f t="shared" si="49"/>
        <v>2.5379602075570857</v>
      </c>
      <c r="EL107" s="306" t="s">
        <v>12</v>
      </c>
      <c r="EM107" s="306" t="s">
        <v>361</v>
      </c>
      <c r="EN107" s="306">
        <v>8261.5616000000009</v>
      </c>
      <c r="EO107" s="306">
        <v>0.12335288692322853</v>
      </c>
      <c r="EP107" s="307">
        <v>849105</v>
      </c>
      <c r="EQ107" s="308">
        <f t="shared" si="58"/>
        <v>25.677950228889753</v>
      </c>
      <c r="ER107" s="308">
        <f t="shared" si="59"/>
        <v>6.7954996929207909E-2</v>
      </c>
      <c r="ET107" s="420" t="s">
        <v>12</v>
      </c>
      <c r="EU107" s="420" t="s">
        <v>361</v>
      </c>
      <c r="EV107" s="420">
        <v>8261.5616000000009</v>
      </c>
      <c r="EW107" s="420">
        <v>0.12335288692322853</v>
      </c>
      <c r="EX107" s="421">
        <v>849105</v>
      </c>
      <c r="EY107" s="422">
        <f t="shared" si="60"/>
        <v>24.946128647366397</v>
      </c>
      <c r="EZ107" s="422">
        <f t="shared" si="50"/>
        <v>6.6018279516725481E-2</v>
      </c>
      <c r="FA107">
        <v>0</v>
      </c>
      <c r="FD107" s="306" t="s">
        <v>12</v>
      </c>
      <c r="FE107" s="306" t="s">
        <v>361</v>
      </c>
      <c r="FF107" s="306">
        <v>8261.5616000000009</v>
      </c>
      <c r="FG107" s="306">
        <v>0.12335288692322853</v>
      </c>
      <c r="FH107" s="307">
        <v>849105</v>
      </c>
      <c r="FI107" s="308">
        <f t="shared" si="61"/>
        <v>24.946128647366397</v>
      </c>
      <c r="FJ107" s="308">
        <f t="shared" si="51"/>
        <v>6.6018279516725481E-2</v>
      </c>
      <c r="FL107" s="101"/>
      <c r="FM107" s="101"/>
      <c r="FN107" s="101"/>
      <c r="FO107" s="101"/>
      <c r="FP107" s="374"/>
      <c r="FQ107" s="404"/>
      <c r="FR107" s="404"/>
    </row>
    <row r="108" spans="1:174" ht="25">
      <c r="A108" s="205"/>
      <c r="B108" s="205" t="s">
        <v>13</v>
      </c>
      <c r="C108" s="400">
        <f>$AB66*KTDB_TripDistribution_2025!L$12 * (1+KTDB_발생량도착량_증가율!$C$8*2)</f>
        <v>95.791538558233384</v>
      </c>
      <c r="D108" s="400">
        <f>$AB66*KTDB_TripDistribution_2025!M$12 * (1+KTDB_발생량도착량_증가율!$C$8*2)</f>
        <v>744.88777802371601</v>
      </c>
      <c r="E108" s="400">
        <f>$AB66*KTDB_TripDistribution_2025!N$12 * (1+KTDB_발생량도착량_증가율!$C$8*2)</f>
        <v>33.017413780977051</v>
      </c>
      <c r="F108" s="400">
        <f>$AB66*KTDB_TripDistribution_2025!O$12 * (1+KTDB_발생량도착량_증가율!$C$8*2)</f>
        <v>8.9538749236548254E-2</v>
      </c>
      <c r="G108" s="400">
        <f>$AB66*KTDB_TripDistribution_2025!P$12 * (1+KTDB_발생량도착량_증가율!$C$8*2)</f>
        <v>0.25369312283688544</v>
      </c>
      <c r="H108" s="400">
        <f>$AB66*KTDB_TripDistribution_2025!Q$12 * (1+KTDB_발생량도착량_증가율!$C$8*2)</f>
        <v>874.03996223499996</v>
      </c>
      <c r="K108" s="206"/>
      <c r="L108" s="206" t="s">
        <v>13</v>
      </c>
      <c r="M108" s="206">
        <f>INDEX($A$102:$H$115,MATCH($L108,$B$102:$B$115,0),MATCH($M$101,$A$102:$H$102,0))*고양시_Modal_split!C$3 * 0.01</f>
        <v>0.26821630796305346</v>
      </c>
      <c r="N108" s="206">
        <f>INDEX($A$102:$H$115,MATCH($L108,$B$102:$B$115,0),MATCH($M$101,$A$102:$H$102,0))*고양시_Modal_split!D$3 * 0.01</f>
        <v>45.050760583937162</v>
      </c>
      <c r="O108" s="206">
        <f>INDEX($A$102:$H$115,MATCH($L108,$B$102:$B$115,0),MATCH($M$101,$A$102:$H$102,0))*고양시_Modal_split!E$3 * 0.01</f>
        <v>5.4505385439634795</v>
      </c>
      <c r="P108" s="206">
        <f>INDEX($A$102:$H$115,MATCH($L108,$B$102:$B$115,0),MATCH($M$101,$A$102:$H$102,0))*고양시_Modal_split!F$3 * 0.01</f>
        <v>8.7840840857900009</v>
      </c>
      <c r="Q108" s="206">
        <f>INDEX($A$102:$H$115,MATCH($L108,$B$102:$B$115,0),MATCH($M$101,$A$102:$H$102,0))*고양시_Modal_split!G$3 * 0.01</f>
        <v>0.88128215473574711</v>
      </c>
      <c r="R108" s="206">
        <f>INDEX($A$102:$H$115,MATCH($L108,$B$102:$B$115,0),MATCH($M$101,$A$102:$H$102,0))*고양시_Modal_split!H$3 * 0.01</f>
        <v>9.5791538558233393E-3</v>
      </c>
      <c r="S108" s="206">
        <f>INDEX($A$102:$H$115,MATCH($L108,$B$102:$B$115,0),MATCH($M$101,$A$102:$H$102,0))*고양시_Modal_split!I$3 * 0.01</f>
        <v>2.6630047719188878</v>
      </c>
      <c r="T108" s="206">
        <f>INDEX($A$102:$H$115,MATCH($L108,$B$102:$B$115,0),MATCH($M$101,$A$102:$H$102,0))*고양시_Modal_split!J$3 * 0.01</f>
        <v>29.158944337126247</v>
      </c>
      <c r="U108" s="206">
        <f>INDEX($A$102:$H$115,MATCH($L108,$B$102:$B$115,0),MATCH($M$101,$A$102:$H$102,0))*고양시_Modal_split!K$3 * 0.01</f>
        <v>0.14368730783735006</v>
      </c>
      <c r="V108" s="206">
        <f>INDEX($A$102:$H$115,MATCH($L108,$B$102:$B$115,0),MATCH($M$101,$A$102:$H$102,0))*고양시_Modal_split!L$3 * 0.01</f>
        <v>2.8929044644586481</v>
      </c>
      <c r="W108" s="206">
        <f>INDEX($A$102:$H$115,MATCH($L108,$B$102:$B$115,0),MATCH($M$101,$A$102:$H$102,0))*고양시_Modal_split!M$3 * 0.01</f>
        <v>0.22032053868393678</v>
      </c>
      <c r="X108" s="206">
        <f>INDEX($A$102:$H$115,MATCH($L108,$B$102:$B$115,0),MATCH($M$101,$A$102:$H$102,0))*고양시_Modal_split!N$3 * 0.01</f>
        <v>9.5791538558233399E-2</v>
      </c>
      <c r="Y108" s="206">
        <f>INDEX($A$102:$H$115,MATCH($L108,$B$102:$B$115,0),MATCH($M$101,$A$102:$H$102,0))*고양시_Modal_split!O$3 * 0.01</f>
        <v>0.17242476940482007</v>
      </c>
      <c r="Z108" s="209">
        <f>INDEX($A$102:$H$115,MATCH($L108,$B$102:$B$115,0),MATCH($M$101,$A$102:$H$102,0))*고양시_Modal_split!P$3 * 0.01</f>
        <v>95.791538558233384</v>
      </c>
      <c r="AA108" s="207">
        <f>INDEX($A$102:$H$115,MATCH($L108,$B$102:$B$115,0),MATCH($AA$101,$A$102:$H$102,0))*고양시_Modal_split!C$3 * 0.01</f>
        <v>2.0856857784664049</v>
      </c>
      <c r="AB108" s="207">
        <f>INDEX($A$102:$H$115,MATCH($L108,$B$102:$B$115,0),MATCH($AA$101,$A$102:$H$102,0))*고양시_Modal_split!D$3 * 0.01</f>
        <v>350.32072200455372</v>
      </c>
      <c r="AC108" s="207">
        <f>INDEX($A$102:$H$115,MATCH($L108,$B$102:$B$115,0),MATCH($AA$101,$A$102:$H$102,0))*고양시_Modal_split!E$3 * 0.01</f>
        <v>42.384114569549439</v>
      </c>
      <c r="AD108" s="207">
        <f>INDEX($A$102:$H$115,MATCH($L108,$B$102:$B$115,0),MATCH($AA$101,$A$102:$H$102,0))*고양시_Modal_split!F$3 * 0.01</f>
        <v>68.306209244774749</v>
      </c>
      <c r="AE108" s="207">
        <f>INDEX($A$102:$H$115,MATCH($L108,$B$102:$B$115,0),MATCH($AA$101,$A$102:$H$102,0))*고양시_Modal_split!G$3 * 0.01</f>
        <v>6.8529675578181868</v>
      </c>
      <c r="AF108" s="207">
        <f>INDEX($A$102:$H$115,MATCH($L108,$B$102:$B$115,0),MATCH($AA$101,$A$102:$H$102,0))*고양시_Modal_split!H$3 * 0.01</f>
        <v>7.4488777802371606E-2</v>
      </c>
      <c r="AG108" s="207">
        <f>INDEX($A$102:$H$115,MATCH($L108,$B$102:$B$115,0),MATCH($AA$101,$A$102:$H$102,0))*고양시_Modal_split!I$3 * 0.01</f>
        <v>20.707880229059306</v>
      </c>
      <c r="AH108" s="207">
        <f>INDEX($A$102:$H$115,MATCH($L108,$B$102:$B$115,0),MATCH($AA$101,$A$102:$H$102,0))*고양시_Modal_split!J$3 * 0.01</f>
        <v>226.74383963041919</v>
      </c>
      <c r="AI108" s="207">
        <f>INDEX($A$102:$H$115,MATCH($L108,$B$102:$B$115,0),MATCH($AA$101,$A$102:$H$102,0))*고양시_Modal_split!K$3 * 0.01</f>
        <v>1.117331667035574</v>
      </c>
      <c r="AJ108" s="207">
        <f>INDEX($A$102:$H$115,MATCH($L108,$B$102:$B$115,0),MATCH($AA$101,$A$102:$H$102,0))*고양시_Modal_split!L$3 * 0.01</f>
        <v>22.495610896316226</v>
      </c>
      <c r="AK108" s="207">
        <f>INDEX($A$102:$H$115,MATCH($L108,$B$102:$B$115,0),MATCH($AA$101,$A$102:$H$102,0))*고양시_Modal_split!M$3 * 0.01</f>
        <v>1.7132418894545467</v>
      </c>
      <c r="AL108" s="207">
        <f>INDEX($A$102:$H$115,MATCH($L108,$B$102:$B$115,0),MATCH($AA$101,$A$102:$H$102,0))*고양시_Modal_split!N$3 * 0.01</f>
        <v>0.74488777802371597</v>
      </c>
      <c r="AM108" s="207">
        <f>INDEX($A$102:$H$115,MATCH($L108,$B$102:$B$115,0),MATCH($AA$101,$A$102:$H$102,0))*고양시_Modal_split!O$3 * 0.01</f>
        <v>1.3407980004426887</v>
      </c>
      <c r="AN108" s="207">
        <f>INDEX($A$102:$H$115,MATCH($L108,$B$102:$B$115,0),MATCH($AA$101,$A$102:$H$102,0))*고양시_Modal_split!P$3 * 0.01</f>
        <v>744.88777802371601</v>
      </c>
      <c r="AO108" s="303">
        <f>INDEX($A$102:$H$115,MATCH($L108,$B$102:$B$115,0),MATCH($AO$101,$A$102:$H$102,0))*고양시_Modal_split!C$3 * 0.01</f>
        <v>9.2448758586735735E-2</v>
      </c>
      <c r="AP108" s="303">
        <f>INDEX($A$102:$H$115,MATCH($L108,$B$102:$B$115,0),MATCH($AO$101,$A$102:$H$102,0))*고양시_Modal_split!D$3 * 0.01</f>
        <v>15.528089701193508</v>
      </c>
      <c r="AQ108" s="303">
        <f>INDEX($A$102:$H$115,MATCH($L108,$B$102:$B$115,0),MATCH($AO$101,$A$102:$H$102,0))*고양시_Modal_split!E$3 * 0.01</f>
        <v>1.878690844137594</v>
      </c>
      <c r="AR108" s="303">
        <f>INDEX($A$102:$H$115,MATCH($L108,$B$102:$B$115,0),MATCH($AO$101,$A$102:$H$102,0))*고양시_Modal_split!F$3 * 0.01</f>
        <v>3.0276968437155958</v>
      </c>
      <c r="AS108" s="303">
        <f>INDEX($A$102:$H$115,MATCH($L108,$B$102:$B$115,0),MATCH($AO$101,$A$102:$H$102,0))*고양시_Modal_split!G$3 * 0.01</f>
        <v>0.30376020678498888</v>
      </c>
      <c r="AT108" s="303">
        <f>INDEX($A$102:$H$115,MATCH($L108,$B$102:$B$115,0),MATCH($AO$101,$A$102:$H$102,0))*고양시_Modal_split!H$3 * 0.01</f>
        <v>3.301741378097705E-3</v>
      </c>
      <c r="AU108" s="303">
        <f>INDEX($A$102:$H$115,MATCH($L108,$B$102:$B$115,0),MATCH($AO$101,$A$102:$H$102,0))*고양시_Modal_split!I$3 * 0.01</f>
        <v>0.91788410311116198</v>
      </c>
      <c r="AV108" s="303">
        <f>INDEX($A$102:$H$115,MATCH($L108,$B$102:$B$115,0),MATCH($AO$101,$A$102:$H$102,0))*고양시_Modal_split!J$3 * 0.01</f>
        <v>10.050500754929415</v>
      </c>
      <c r="AW108" s="303">
        <f>INDEX($A$102:$H$115,MATCH($L108,$B$102:$B$115,0),MATCH($AO$101,$A$102:$H$102,0))*고양시_Modal_split!K$3 * 0.01</f>
        <v>4.9526120671465577E-2</v>
      </c>
      <c r="AX108" s="303">
        <f>INDEX($A$102:$H$115,MATCH($L108,$B$102:$B$115,0),MATCH($AO$101,$A$102:$H$102,0))*고양시_Modal_split!L$3 * 0.01</f>
        <v>0.99712589618550695</v>
      </c>
      <c r="AY108" s="303">
        <f>INDEX($A$102:$H$115,MATCH($L108,$B$102:$B$115,0),MATCH($AO$101,$A$102:$H$102,0))*고양시_Modal_split!M$3 * 0.01</f>
        <v>7.5940051696247221E-2</v>
      </c>
      <c r="AZ108" s="303">
        <f>INDEX($A$102:$H$115,MATCH($L108,$B$102:$B$115,0),MATCH($AO$101,$A$102:$H$102,0))*고양시_Modal_split!N$3 * 0.01</f>
        <v>3.3017413780977056E-2</v>
      </c>
      <c r="BA108" s="207">
        <f>INDEX($A$102:$H$115,MATCH($L108,$B$102:$B$115,0),MATCH($AO$101,$A$102:$H$102,0))*고양시_Modal_split!O$3 * 0.01</f>
        <v>5.9431344805758693E-2</v>
      </c>
      <c r="BB108" s="207">
        <f>INDEX($A$102:$H$115,MATCH($L108,$B$102:$B$115,0),MATCH($AO$101,$A$102:$H$102,0))*고양시_Modal_split!P$3 * 0.01</f>
        <v>33.017413780977051</v>
      </c>
      <c r="BC108" s="207">
        <f>INDEX($A$102:$H$115,MATCH($L108,$B$102:$B$115,0),MATCH($BC$101,$A$102:$H$102,0))*고양시_Modal_split!C$3 * 0.01</f>
        <v>2.5070849786233511E-4</v>
      </c>
      <c r="BD108" s="207">
        <f>INDEX($A$102:$H$115,MATCH($L108,$B$102:$B$115,0),MATCH($BC$101,$A$102:$H$102,0))*고양시_Modal_split!D$3 * 0.01</f>
        <v>4.2110073765948643E-2</v>
      </c>
      <c r="BE108" s="207">
        <f>INDEX($A$102:$H$115,MATCH($L108,$B$102:$B$115,0),MATCH($BC$101,$A$102:$H$102,0))*고양시_Modal_split!E$3 * 0.01</f>
        <v>5.0947548315595946E-3</v>
      </c>
      <c r="BF108" s="207">
        <f>INDEX($A$102:$H$115,MATCH($L108,$B$102:$B$115,0),MATCH($BC$101,$A$102:$H$102,0))*고양시_Modal_split!F$3 * 0.01</f>
        <v>8.2107033049914745E-3</v>
      </c>
      <c r="BG108" s="207">
        <f>INDEX($A$102:$H$115,MATCH($L108,$B$102:$B$115,0),MATCH($BC$101,$A$102:$H$102,0))*고양시_Modal_split!G$3 * 0.01</f>
        <v>8.2375649297624395E-4</v>
      </c>
      <c r="BH108" s="207">
        <f>INDEX($A$102:$H$115,MATCH($L108,$B$102:$B$115,0),MATCH($BC$101,$A$102:$H$102,0))*고양시_Modal_split!H$3 * 0.01</f>
        <v>8.9538749236548256E-6</v>
      </c>
      <c r="BI108" s="207">
        <f>INDEX($A$102:$H$115,MATCH($L108,$B$102:$B$115,0),MATCH($BC$101,$A$102:$H$102,0))*고양시_Modal_split!I$3 * 0.01</f>
        <v>2.4891772287760415E-3</v>
      </c>
      <c r="BJ108" s="207">
        <f>INDEX($A$102:$H$115,MATCH($L108,$B$102:$B$115,0),MATCH($BC$101,$A$102:$H$102,0))*고양시_Modal_split!J$3 * 0.01</f>
        <v>2.7255595267605293E-2</v>
      </c>
      <c r="BK108" s="207">
        <f>INDEX($A$102:$H$115,MATCH($L108,$B$102:$B$115,0),MATCH($BC$101,$A$102:$H$102,0))*고양시_Modal_split!K$3 * 0.01</f>
        <v>1.343081238548224E-4</v>
      </c>
      <c r="BL108" s="207">
        <f>INDEX($A$102:$H$115,MATCH($L108,$B$102:$B$115,0),MATCH($BC$101,$A$102:$H$102,0))*고양시_Modal_split!L$3 * 0.01</f>
        <v>2.7040702269437574E-3</v>
      </c>
      <c r="BM108" s="207">
        <f>INDEX($A$102:$H$115,MATCH($L108,$B$102:$B$115,0),MATCH($BC$101,$A$102:$H$102,0))*고양시_Modal_split!M$3 * 0.01</f>
        <v>2.0593912324406099E-4</v>
      </c>
      <c r="BN108" s="207">
        <f>INDEX($A$102:$H$115,MATCH($L108,$B$102:$B$115,0),MATCH($BC$101,$A$102:$H$102,0))*고양시_Modal_split!N$3 * 0.01</f>
        <v>8.9538749236548246E-5</v>
      </c>
      <c r="BO108" s="207">
        <f>INDEX($A$102:$H$115,MATCH($L108,$B$102:$B$115,0),MATCH($BC$101,$A$102:$H$102,0))*고양시_Modal_split!O$3 * 0.01</f>
        <v>1.6116974862578684E-4</v>
      </c>
      <c r="BP108" s="207">
        <f>INDEX($A$102:$H$115,MATCH($L108,$B$102:$B$115,0),MATCH($BC$101,$A$102:$H$102,0))*고양시_Modal_split!P$3 * 0.01</f>
        <v>8.9538749236548268E-2</v>
      </c>
      <c r="BQ108" s="207">
        <f>INDEX($A$102:$H$115,MATCH($L108,$B$102:$B$115,0),MATCH($BQ$101,$A$102:$H$102,0))*고양시_Modal_split!C$3 * 0.01</f>
        <v>7.1034074394327922E-4</v>
      </c>
      <c r="BR108" s="207">
        <f>INDEX($A$102:$H$115,MATCH($L108,$B$102:$B$115,0),MATCH($BQ$101,$A$102:$H$102,0))*고양시_Modal_split!D$3 * 0.01</f>
        <v>0.11931187567018724</v>
      </c>
      <c r="BS108" s="207">
        <f>INDEX($A$102:$H$115,MATCH($L108,$B$102:$B$115,0),MATCH($BQ$101,$A$102:$H$102,0))*고양시_Modal_split!E$3 * 0.01</f>
        <v>1.4435138689418781E-2</v>
      </c>
      <c r="BT108" s="207">
        <f>INDEX($A$102:$H$115,MATCH($L108,$B$102:$B$115,0),MATCH($BQ$101,$A$102:$H$102,0))*고양시_Modal_split!F$3 * 0.01</f>
        <v>2.3263659364142396E-2</v>
      </c>
      <c r="BU108" s="207">
        <f>INDEX($A$102:$H$115,MATCH($L108,$B$102:$B$115,0),MATCH($BQ$101,$A$102:$H$102,0))*고양시_Modal_split!G$3 * 0.01</f>
        <v>2.3339767300993458E-3</v>
      </c>
      <c r="BV108" s="207">
        <f>INDEX($A$102:$H$115,MATCH($L108,$B$102:$B$115,0),MATCH($BQ$101,$A$102:$H$102,0))*고양시_Modal_split!H$3 * 0.01</f>
        <v>2.5369312283688543E-5</v>
      </c>
      <c r="BW108" s="207">
        <f>INDEX($A$102:$H$115,MATCH($L108,$B$102:$B$115,0),MATCH($BQ$101,$A$102:$H$102,0))*고양시_Modal_split!I$3 * 0.01</f>
        <v>7.0526688148654154E-3</v>
      </c>
      <c r="BX108" s="207">
        <f>INDEX($A$102:$H$115,MATCH($L108,$B$102:$B$115,0),MATCH($BQ$101,$A$102:$H$102,0))*고양시_Modal_split!J$3 * 0.01</f>
        <v>7.7224186591547936E-2</v>
      </c>
      <c r="BY108" s="207">
        <f>INDEX($A$102:$H$115,MATCH($L108,$B$102:$B$115,0),MATCH($BQ$101,$A$102:$H$102,0))*고양시_Modal_split!K$3 * 0.01</f>
        <v>3.8053968425532818E-4</v>
      </c>
      <c r="BZ108" s="207">
        <f>INDEX($A$102:$H$115,MATCH($L108,$B$102:$B$115,0),MATCH($BQ$101,$A$102:$H$102,0))*고양시_Modal_split!L$3 * 0.01</f>
        <v>7.6615323096739405E-3</v>
      </c>
      <c r="CA108" s="207">
        <f>INDEX($A$102:$H$115,MATCH($L108,$B$102:$B$115,0),MATCH($BQ$101,$A$102:$H$102,0))*고양시_Modal_split!M$3 * 0.01</f>
        <v>5.8349418252483644E-4</v>
      </c>
      <c r="CB108" s="207">
        <f>INDEX($A$102:$H$115,MATCH($L108,$B$102:$B$115,0),MATCH($BQ$101,$A$102:$H$102,0))*고양시_Modal_split!N$3 * 0.01</f>
        <v>2.5369312283688545E-4</v>
      </c>
      <c r="CC108" s="207">
        <f>INDEX($A$102:$H$115,MATCH($L108,$B$102:$B$115,0),MATCH($BQ$101,$A$102:$H$102,0))*고양시_Modal_split!O$3 * 0.01</f>
        <v>4.5664762110639377E-4</v>
      </c>
      <c r="CD108" s="207">
        <f>INDEX($A$102:$H$115,MATCH($L108,$B$102:$B$115,0),MATCH($BQ$101,$A$102:$H$102,0))*고양시_Modal_split!P$3 * 0.01</f>
        <v>0.25369312283688544</v>
      </c>
      <c r="CE108" s="304">
        <f t="shared" si="52"/>
        <v>2.4473118942580001</v>
      </c>
      <c r="CF108" s="304">
        <f t="shared" si="47"/>
        <v>411.06099423912053</v>
      </c>
      <c r="CG108" s="304">
        <f t="shared" si="47"/>
        <v>49.732873851171497</v>
      </c>
      <c r="CH108" s="304">
        <f t="shared" si="47"/>
        <v>80.149464536949495</v>
      </c>
      <c r="CI108" s="304">
        <f t="shared" si="47"/>
        <v>8.0411676525619988</v>
      </c>
      <c r="CJ108" s="304">
        <f t="shared" si="47"/>
        <v>8.740399622349998E-2</v>
      </c>
      <c r="CK108" s="304">
        <f t="shared" si="47"/>
        <v>24.298310950132997</v>
      </c>
      <c r="CL108" s="304">
        <f t="shared" si="47"/>
        <v>266.05776450433399</v>
      </c>
      <c r="CM108" s="304">
        <f t="shared" si="47"/>
        <v>1.3110599433524999</v>
      </c>
      <c r="CN108" s="304">
        <f t="shared" si="47"/>
        <v>26.396006859497</v>
      </c>
      <c r="CO108" s="304">
        <f t="shared" si="47"/>
        <v>2.0102919131404997</v>
      </c>
      <c r="CP108" s="304">
        <f t="shared" si="47"/>
        <v>0.8740399622349998</v>
      </c>
      <c r="CQ108" s="304">
        <f t="shared" si="47"/>
        <v>1.5732719320229993</v>
      </c>
      <c r="CR108" s="304">
        <f t="shared" si="47"/>
        <v>874.03996223499996</v>
      </c>
      <c r="CS108" s="305">
        <f t="shared" si="53"/>
        <v>0</v>
      </c>
      <c r="CV108" s="267"/>
      <c r="CW108" s="267" t="s">
        <v>13</v>
      </c>
      <c r="CX108" s="267">
        <f>INDEX($M$101:$Z$115,MATCH($CW108,$L$101:$L$115,0),MATCH(CX$102,$M$102:$Z$102,0))/INDEX(고양시_재차인원!$D$4:$H$35,MATCH("고양시",고양시_재차인원!$B$4:$B$35,0),MATCH($CX$101,고양시_재차인원!$D$4:$H$4,0))</f>
        <v>40.223893378515321</v>
      </c>
      <c r="CY108" s="267">
        <f>INDEX($M$101:$Z$115,MATCH($CW108,$L$101:$L$115,0),MATCH(CY$102,$M$102:$Z$102,0))/INDEX(고양시_재차인원!$K$4:$O$20,MATCH("경기도",고양시_재차인원!$K$4:$K$20,0),MATCH(CY$102,고양시_재차인원!$K$4:$O$4,0))</f>
        <v>3.3272503840998052E-4</v>
      </c>
      <c r="CZ108" s="267">
        <f>INDEX($M$101:$Z$115,MATCH($CW108,$L$101:$L$115,0),MATCH(CZ$102,$M$102:$Z$102,0))/INDEX(고양시_재차인원!$K$4:$O$20,MATCH("경기도",고양시_재차인원!$K$4:$K$20,0),MATCH(CZ$102,고양시_재차인원!$K$4:$O$4,0))</f>
        <v>9.2497560677974572E-2</v>
      </c>
      <c r="DA108" s="267">
        <f>INDEX($M$101:$Z$115,MATCH($CW108,$L$101:$L$115,0),MATCH(DA$102,$M$102:$Z$102,0))/INDEX(고양시_재차인원!$D$4:$H$35,MATCH("고양시",고양시_재차인원!$B$4:$B$35,0),MATCH($CX$101,고양시_재차인원!$D$4:$H$4,0))</f>
        <v>2.5829504146952211</v>
      </c>
      <c r="DB108" s="267">
        <f>INDEX($AA$101:$AN$115,MATCH($CW108,$L$101:$L$115,0),MATCH(DB$102,$AA$102:$AN$102,0))/INDEX(고양시_재차인원!$D$4:$H$35,MATCH("고양시",고양시_재차인원!$B$4:$B$35,0),MATCH($DB$101,고양시_재차인원!$D$4:$H$4,0))</f>
        <v>248.45441276918706</v>
      </c>
      <c r="DC108" s="267">
        <f>INDEX($AA$101:$AN$115,MATCH($CW108,$L$101:$L$115,0),MATCH(DC$102,$AA$102:$AN$102,0))/INDEX(고양시_재차인원!$K$4:$O$20,MATCH("경기도",고양시_재차인원!$K$4:$K$20,0),MATCH(DC$102,고양시_재차인원!$K$4:$O$4,0))</f>
        <v>2.5873142689257244E-3</v>
      </c>
      <c r="DD108" s="267">
        <f>INDEX($AA$101:$AN$115,MATCH($CW108,$L$101:$L$115,0),MATCH(DD$102,$AA$102:$AN$102,0))/INDEX(고양시_재차인원!$K$4:$O$20,MATCH("경기도",고양시_재차인원!$K$4:$K$20,0),MATCH(DD$102,고양시_재차인원!$K$4:$O$4,0))</f>
        <v>0.71927336676135134</v>
      </c>
      <c r="DE108" s="267">
        <f>INDEX($AA$101:$AN$115,MATCH($CW108,$L$101:$L$115,0),MATCH(DE$102,$AA$102:$AN$102,0))/INDEX(고양시_재차인원!$D$4:$H$35,MATCH("고양시",고양시_재차인원!$B$4:$B$35,0),MATCH($DB$101,고양시_재차인원!$D$4:$H$4,0))</f>
        <v>15.954333969018601</v>
      </c>
      <c r="DF108" s="267">
        <f>INDEX($AO$101:$BB$115,MATCH($CW108,$L$101:$L$115,0),MATCH(DF$102,$AO$102:$BB$102,0))/INDEX(고양시_재차인원!$D$4:$H$35,MATCH("고양시",고양시_재차인원!$B$4:$B$35,0),MATCH($DF$101,고양시_재차인원!$D$4:$H$4,0))</f>
        <v>11.944684385533467</v>
      </c>
      <c r="DG108" s="267">
        <f>INDEX($AO$101:$BB$115,MATCH($CW108,$L$101:$L$115,0),MATCH(DG$102,$AO$102:$BB$102,0))/INDEX(고양시_재차인원!$K$4:$O$20,MATCH("경기도",고양시_재차인원!$K$4:$K$20,0),MATCH(DG$102,고양시_재차인원!$K$4:$O$4,0))</f>
        <v>1.146836185515007E-4</v>
      </c>
      <c r="DH108" s="267">
        <f>INDEX($AO$101:$BB$115,MATCH($CW108,$L$101:$L$115,0),MATCH(DH$102,$AO$102:$BB$102,0))/INDEX(고양시_재차인원!$K$4:$O$20,MATCH("경기도",고양시_재차인원!$K$4:$K$20,0),MATCH(DH$102,고양시_재차인원!$K$4:$O$4,0))</f>
        <v>3.1882045957317195E-2</v>
      </c>
      <c r="DI108" s="267">
        <f>INDEX($AO$101:$BB$115,MATCH($CW108,$L$101:$L$115,0),MATCH(DI$102,$AO$102:$BB$102,0))/INDEX(고양시_재차인원!$D$4:$H$35,MATCH("고양시",고양시_재차인원!$B$4:$B$35,0),MATCH($DF$101,고양시_재차인원!$D$4:$H$4,0))</f>
        <v>0.7670199201426976</v>
      </c>
      <c r="DJ108" s="267">
        <f>INDEX($BC$101:$BP$115,MATCH($CW108,$L$101:$L$115,0),MATCH(DJ$102,$BC$102:$BP$102,0))/INDEX(고양시_재차인원!$D$4:$H$35,MATCH("고양시",고양시_재차인원!$B$4:$B$35,0),MATCH($DJ$101,고양시_재차인원!$D$4:$H$4,0))</f>
        <v>3.0963289533785764E-2</v>
      </c>
      <c r="DK108" s="267">
        <f>INDEX($BC$101:$BP$115,MATCH($CW108,$L$101:$L$115,0),MATCH(DK$102,$BC$102:$BP$102,0))/INDEX(고양시_재차인원!$K$4:$O$20,MATCH("경기도",고양시_재차인원!$K$4:$K$20,0),MATCH(DK$102,고양시_재차인원!$K$4:$O$4,0))</f>
        <v>3.110064231905115E-7</v>
      </c>
      <c r="DL108" s="267">
        <f>INDEX($BC$101:$BP$115,MATCH($CW108,$L$101:$L$115,0),MATCH(DL$102,$BC$102:$BP$102,0))/INDEX(고양시_재차인원!$K$4:$O$20,MATCH("경기도",고양시_재차인원!$K$4:$K$20,0),MATCH(DL$102,고양시_재차인원!$K$4:$O$4,0))</f>
        <v>8.6459785646962194E-5</v>
      </c>
      <c r="DM108" s="267">
        <f>INDEX($BC$101:$BP$115,MATCH($CW108,$L$101:$L$115,0),MATCH(DM$102,$BC$102:$BP$102,0))/INDEX(고양시_재차인원!$D$4:$H$35,MATCH("고양시",고양시_재차인원!$B$4:$B$35,0),MATCH($DJ$101,고양시_재차인원!$D$4:$H$4,0))</f>
        <v>1.9882869315762919E-3</v>
      </c>
      <c r="DN108" s="267">
        <f>INDEX($BQ$101:$CD$115,MATCH($CW108,$L$101:$L$115,0),MATCH(DN$102,$BQ$102:$CD$102,0))/INDEX(고양시_재차인원!$D$4:$H$35,MATCH("고양시",고양시_재차인원!$B$4:$B$35,0),MATCH($DN$101,고양시_재차인원!$D$4:$H$4,0))</f>
        <v>9.4691964817608915E-2</v>
      </c>
      <c r="DO108" s="267">
        <f>INDEX($BQ$101:$CD$115,MATCH($CW108,$L$101:$L$115,0),MATCH(DO$102,$BQ$102:$CD$102,0))/INDEX(고양시_재차인원!$K$4:$O$20,MATCH("경기도",고양시_재차인원!$K$4:$K$20,0),MATCH(DO$102,고양시_재차인원!$K$4:$O$4,0))</f>
        <v>8.8118486570644472E-7</v>
      </c>
      <c r="DP108" s="267">
        <f>INDEX($BQ$101:$CD$115,MATCH($CW108,$L$101:$L$115,0),MATCH(DP$102,$BQ$102:$CD$102,0))/INDEX(고양시_재차인원!$K$4:$O$20,MATCH("경기도",고양시_재차인원!$K$4:$K$20,0),MATCH(DP$102,고양시_재차인원!$K$4:$O$4,0))</f>
        <v>2.4496939266639164E-4</v>
      </c>
      <c r="DQ108" s="267">
        <f>INDEX($BQ$101:$CD$115,MATCH($CW108,$L$101:$L$115,0),MATCH(DQ$102,$BQ$102:$CD$102,0))/INDEX(고양시_재차인원!$D$4:$H$35,MATCH("고양시",고양시_재차인원!$B$4:$B$35,0),MATCH($DN$101,고양시_재차인원!$D$4:$H$4,0))</f>
        <v>6.0805811981539211E-3</v>
      </c>
      <c r="DR108" s="270">
        <f t="shared" si="54"/>
        <v>300.74864578758724</v>
      </c>
      <c r="DS108" s="270">
        <f t="shared" si="48"/>
        <v>3.0359151171761023E-3</v>
      </c>
      <c r="DT108" s="270">
        <f t="shared" si="48"/>
        <v>0.84398440257495644</v>
      </c>
      <c r="DU108" s="270">
        <f t="shared" si="48"/>
        <v>19.312373171986252</v>
      </c>
      <c r="DW108" s="278"/>
      <c r="DX108" s="278" t="s">
        <v>13</v>
      </c>
      <c r="DY108" s="281">
        <f t="shared" si="55"/>
        <v>320.06101895957352</v>
      </c>
      <c r="DZ108" s="281">
        <f t="shared" si="56"/>
        <v>0.84702031769213249</v>
      </c>
      <c r="EB108" s="278"/>
      <c r="EC108" s="278" t="s">
        <v>13</v>
      </c>
      <c r="ED108" s="281">
        <f t="shared" si="57"/>
        <v>320.06101895957352</v>
      </c>
      <c r="EE108" s="281">
        <f t="shared" si="49"/>
        <v>0.84702031769213249</v>
      </c>
      <c r="EL108" s="306" t="s">
        <v>12</v>
      </c>
      <c r="EM108" s="306" t="s">
        <v>362</v>
      </c>
      <c r="EN108" s="306">
        <v>22890.217400000001</v>
      </c>
      <c r="EO108" s="306">
        <v>0.3417724802282317</v>
      </c>
      <c r="EP108" s="307">
        <v>849106</v>
      </c>
      <c r="EQ108" s="308">
        <f t="shared" si="58"/>
        <v>71.145612849472215</v>
      </c>
      <c r="ER108" s="308">
        <f t="shared" si="59"/>
        <v>0.18828215880226584</v>
      </c>
      <c r="ET108" s="420" t="s">
        <v>12</v>
      </c>
      <c r="EU108" s="420" t="s">
        <v>362</v>
      </c>
      <c r="EV108" s="420">
        <v>22890.217400000001</v>
      </c>
      <c r="EW108" s="420">
        <v>0.3417724802282317</v>
      </c>
      <c r="EX108" s="421">
        <v>849106</v>
      </c>
      <c r="EY108" s="422">
        <f t="shared" si="60"/>
        <v>69.117962883262265</v>
      </c>
      <c r="EZ108" s="422">
        <f t="shared" si="50"/>
        <v>0.18291611727640128</v>
      </c>
      <c r="FA108">
        <v>0</v>
      </c>
      <c r="FD108" s="306" t="s">
        <v>12</v>
      </c>
      <c r="FE108" s="306" t="s">
        <v>362</v>
      </c>
      <c r="FF108" s="306">
        <v>22890.217400000001</v>
      </c>
      <c r="FG108" s="306">
        <v>0.3417724802282317</v>
      </c>
      <c r="FH108" s="307">
        <v>849106</v>
      </c>
      <c r="FI108" s="308">
        <f t="shared" si="61"/>
        <v>69.117962883262265</v>
      </c>
      <c r="FJ108" s="308">
        <f t="shared" si="51"/>
        <v>0.18291611727640128</v>
      </c>
      <c r="FL108" s="101"/>
      <c r="FM108" s="101"/>
      <c r="FN108" s="101"/>
      <c r="FO108" s="101"/>
      <c r="FP108" s="374"/>
      <c r="FQ108" s="404"/>
      <c r="FR108" s="404"/>
    </row>
    <row r="109" spans="1:174" ht="25">
      <c r="A109" s="205"/>
      <c r="B109" s="205" t="s">
        <v>301</v>
      </c>
      <c r="C109" s="400">
        <f>$AB67*KTDB_TripDistribution_2025!L$12 * (1+KTDB_발생량도착량_증가율!$C$8*2)</f>
        <v>1682.2256585244854</v>
      </c>
      <c r="D109" s="400">
        <f>$AB67*KTDB_TripDistribution_2025!M$12 * (1+KTDB_발생량도착량_증가율!$C$8*2)</f>
        <v>13081.21105238354</v>
      </c>
      <c r="E109" s="400">
        <f>$AB67*KTDB_TripDistribution_2025!N$12 * (1+KTDB_발생량도착량_증가율!$C$8*2)</f>
        <v>579.82929887606008</v>
      </c>
      <c r="F109" s="400">
        <f>$AB67*KTDB_TripDistribution_2025!O$12 * (1+KTDB_발생량도착량_증가율!$C$8*2)</f>
        <v>1.572418437629999</v>
      </c>
      <c r="G109" s="400">
        <f>$AB67*KTDB_TripDistribution_2025!P$12 * (1+KTDB_발생량도착량_증가율!$C$8*2)</f>
        <v>4.4551855732849752</v>
      </c>
      <c r="H109" s="400">
        <f>$AB67*KTDB_TripDistribution_2025!Q$12 * (1+KTDB_발생량도착량_증가율!$C$8*2)</f>
        <v>15349.293613795</v>
      </c>
      <c r="I109" s="56"/>
      <c r="J109" s="56"/>
      <c r="K109" s="206"/>
      <c r="L109" s="206" t="s">
        <v>301</v>
      </c>
      <c r="M109" s="206">
        <f>INDEX($A$102:$H$115,MATCH($L109,$B$102:$B$115,0),MATCH($M$101,$A$102:$H$102,0))*고양시_Modal_split!C$3 * 0.01</f>
        <v>4.7102318438685584</v>
      </c>
      <c r="N109" s="206">
        <f>INDEX($A$102:$H$115,MATCH($L109,$B$102:$B$115,0),MATCH($M$101,$A$102:$H$102,0))*고양시_Modal_split!D$3 * 0.01</f>
        <v>791.15072720406545</v>
      </c>
      <c r="O109" s="206">
        <f>INDEX($A$102:$H$115,MATCH($L109,$B$102:$B$115,0),MATCH($M$101,$A$102:$H$102,0))*고양시_Modal_split!E$3 * 0.01</f>
        <v>95.718639970043213</v>
      </c>
      <c r="P109" s="206">
        <f>INDEX($A$102:$H$115,MATCH($L109,$B$102:$B$115,0),MATCH($M$101,$A$102:$H$102,0))*고양시_Modal_split!F$3 * 0.01</f>
        <v>154.2600928866953</v>
      </c>
      <c r="Q109" s="206">
        <f>INDEX($A$102:$H$115,MATCH($L109,$B$102:$B$115,0),MATCH($M$101,$A$102:$H$102,0))*고양시_Modal_split!G$3 * 0.01</f>
        <v>15.476476058425265</v>
      </c>
      <c r="R109" s="206">
        <f>INDEX($A$102:$H$115,MATCH($L109,$B$102:$B$115,0),MATCH($M$101,$A$102:$H$102,0))*고양시_Modal_split!H$3 * 0.01</f>
        <v>0.16822256585244855</v>
      </c>
      <c r="S109" s="206">
        <f>INDEX($A$102:$H$115,MATCH($L109,$B$102:$B$115,0),MATCH($M$101,$A$102:$H$102,0))*고양시_Modal_split!I$3 * 0.01</f>
        <v>46.765873306980694</v>
      </c>
      <c r="T109" s="206">
        <f>INDEX($A$102:$H$115,MATCH($L109,$B$102:$B$115,0),MATCH($M$101,$A$102:$H$102,0))*고양시_Modal_split!J$3 * 0.01</f>
        <v>512.06949045485339</v>
      </c>
      <c r="U109" s="206">
        <f>INDEX($A$102:$H$115,MATCH($L109,$B$102:$B$115,0),MATCH($M$101,$A$102:$H$102,0))*고양시_Modal_split!K$3 * 0.01</f>
        <v>2.5233384877867282</v>
      </c>
      <c r="V109" s="206">
        <f>INDEX($A$102:$H$115,MATCH($L109,$B$102:$B$115,0),MATCH($M$101,$A$102:$H$102,0))*고양시_Modal_split!L$3 * 0.01</f>
        <v>50.803214887439466</v>
      </c>
      <c r="W109" s="206">
        <f>INDEX($A$102:$H$115,MATCH($L109,$B$102:$B$115,0),MATCH($M$101,$A$102:$H$102,0))*고양시_Modal_split!M$3 * 0.01</f>
        <v>3.8691190146063161</v>
      </c>
      <c r="X109" s="206">
        <f>INDEX($A$102:$H$115,MATCH($L109,$B$102:$B$115,0),MATCH($M$101,$A$102:$H$102,0))*고양시_Modal_split!N$3 * 0.01</f>
        <v>1.6822256585244855</v>
      </c>
      <c r="Y109" s="206">
        <f>INDEX($A$102:$H$115,MATCH($L109,$B$102:$B$115,0),MATCH($M$101,$A$102:$H$102,0))*고양시_Modal_split!O$3 * 0.01</f>
        <v>3.0280061853440738</v>
      </c>
      <c r="Z109" s="209">
        <f>INDEX($A$102:$H$115,MATCH($L109,$B$102:$B$115,0),MATCH($M$101,$A$102:$H$102,0))*고양시_Modal_split!P$3 * 0.01</f>
        <v>1682.2256585244854</v>
      </c>
      <c r="AA109" s="207">
        <f>INDEX($A$102:$H$115,MATCH($L109,$B$102:$B$115,0),MATCH($AA$101,$A$102:$H$102,0))*고양시_Modal_split!C$3 * 0.01</f>
        <v>36.627390946673913</v>
      </c>
      <c r="AB109" s="207">
        <f>INDEX($A$102:$H$115,MATCH($L109,$B$102:$B$115,0),MATCH($AA$101,$A$102:$H$102,0))*고양시_Modal_split!D$3 * 0.01</f>
        <v>6152.0935579359793</v>
      </c>
      <c r="AC109" s="207">
        <f>INDEX($A$102:$H$115,MATCH($L109,$B$102:$B$115,0),MATCH($AA$101,$A$102:$H$102,0))*고양시_Modal_split!E$3 * 0.01</f>
        <v>744.32090888062328</v>
      </c>
      <c r="AD109" s="207">
        <f>INDEX($A$102:$H$115,MATCH($L109,$B$102:$B$115,0),MATCH($AA$101,$A$102:$H$102,0))*고양시_Modal_split!F$3 * 0.01</f>
        <v>1199.5470535035706</v>
      </c>
      <c r="AE109" s="207">
        <f>INDEX($A$102:$H$115,MATCH($L109,$B$102:$B$115,0),MATCH($AA$101,$A$102:$H$102,0))*고양시_Modal_split!G$3 * 0.01</f>
        <v>120.34714168192855</v>
      </c>
      <c r="AF109" s="207">
        <f>INDEX($A$102:$H$115,MATCH($L109,$B$102:$B$115,0),MATCH($AA$101,$A$102:$H$102,0))*고양시_Modal_split!H$3 * 0.01</f>
        <v>1.3081211052383541</v>
      </c>
      <c r="AG109" s="207">
        <f>INDEX($A$102:$H$115,MATCH($L109,$B$102:$B$115,0),MATCH($AA$101,$A$102:$H$102,0))*고양시_Modal_split!I$3 * 0.01</f>
        <v>363.65766725626236</v>
      </c>
      <c r="AH109" s="207">
        <f>INDEX($A$102:$H$115,MATCH($L109,$B$102:$B$115,0),MATCH($AA$101,$A$102:$H$102,0))*고양시_Modal_split!J$3 * 0.01</f>
        <v>3981.9206443455496</v>
      </c>
      <c r="AI109" s="207">
        <f>INDEX($A$102:$H$115,MATCH($L109,$B$102:$B$115,0),MATCH($AA$101,$A$102:$H$102,0))*고양시_Modal_split!K$3 * 0.01</f>
        <v>19.621816578575309</v>
      </c>
      <c r="AJ109" s="207">
        <f>INDEX($A$102:$H$115,MATCH($L109,$B$102:$B$115,0),MATCH($AA$101,$A$102:$H$102,0))*고양시_Modal_split!L$3 * 0.01</f>
        <v>395.05257378198297</v>
      </c>
      <c r="AK109" s="207">
        <f>INDEX($A$102:$H$115,MATCH($L109,$B$102:$B$115,0),MATCH($AA$101,$A$102:$H$102,0))*고양시_Modal_split!M$3 * 0.01</f>
        <v>30.086785420482137</v>
      </c>
      <c r="AL109" s="207">
        <f>INDEX($A$102:$H$115,MATCH($L109,$B$102:$B$115,0),MATCH($AA$101,$A$102:$H$102,0))*고양시_Modal_split!N$3 * 0.01</f>
        <v>13.081211052383543</v>
      </c>
      <c r="AM109" s="207">
        <f>INDEX($A$102:$H$115,MATCH($L109,$B$102:$B$115,0),MATCH($AA$101,$A$102:$H$102,0))*고양시_Modal_split!O$3 * 0.01</f>
        <v>23.546179894290372</v>
      </c>
      <c r="AN109" s="207">
        <f>INDEX($A$102:$H$115,MATCH($L109,$B$102:$B$115,0),MATCH($AA$101,$A$102:$H$102,0))*고양시_Modal_split!P$3 * 0.01</f>
        <v>13081.211052383542</v>
      </c>
      <c r="AO109" s="303">
        <f>INDEX($A$102:$H$115,MATCH($L109,$B$102:$B$115,0),MATCH($AO$101,$A$102:$H$102,0))*고양시_Modal_split!C$3 * 0.01</f>
        <v>1.6235220368529681</v>
      </c>
      <c r="AP109" s="303">
        <f>INDEX($A$102:$H$115,MATCH($L109,$B$102:$B$115,0),MATCH($AO$101,$A$102:$H$102,0))*고양시_Modal_split!D$3 * 0.01</f>
        <v>272.69371926141105</v>
      </c>
      <c r="AQ109" s="303">
        <f>INDEX($A$102:$H$115,MATCH($L109,$B$102:$B$115,0),MATCH($AO$101,$A$102:$H$102,0))*고양시_Modal_split!E$3 * 0.01</f>
        <v>32.992287106047819</v>
      </c>
      <c r="AR109" s="303">
        <f>INDEX($A$102:$H$115,MATCH($L109,$B$102:$B$115,0),MATCH($AO$101,$A$102:$H$102,0))*고양시_Modal_split!F$3 * 0.01</f>
        <v>53.170346706934708</v>
      </c>
      <c r="AS109" s="303">
        <f>INDEX($A$102:$H$115,MATCH($L109,$B$102:$B$115,0),MATCH($AO$101,$A$102:$H$102,0))*고양시_Modal_split!G$3 * 0.01</f>
        <v>5.3344295496597525</v>
      </c>
      <c r="AT109" s="303">
        <f>INDEX($A$102:$H$115,MATCH($L109,$B$102:$B$115,0),MATCH($AO$101,$A$102:$H$102,0))*고양시_Modal_split!H$3 * 0.01</f>
        <v>5.7982929887606005E-2</v>
      </c>
      <c r="AU109" s="303">
        <f>INDEX($A$102:$H$115,MATCH($L109,$B$102:$B$115,0),MATCH($AO$101,$A$102:$H$102,0))*고양시_Modal_split!I$3 * 0.01</f>
        <v>16.119254508754469</v>
      </c>
      <c r="AV109" s="303">
        <f>INDEX($A$102:$H$115,MATCH($L109,$B$102:$B$115,0),MATCH($AO$101,$A$102:$H$102,0))*고양시_Modal_split!J$3 * 0.01</f>
        <v>176.50003857787269</v>
      </c>
      <c r="AW109" s="303">
        <f>INDEX($A$102:$H$115,MATCH($L109,$B$102:$B$115,0),MATCH($AO$101,$A$102:$H$102,0))*고양시_Modal_split!K$3 * 0.01</f>
        <v>0.86974394831409019</v>
      </c>
      <c r="AX109" s="303">
        <f>INDEX($A$102:$H$115,MATCH($L109,$B$102:$B$115,0),MATCH($AO$101,$A$102:$H$102,0))*고양시_Modal_split!L$3 * 0.01</f>
        <v>17.510844826057014</v>
      </c>
      <c r="AY109" s="303">
        <f>INDEX($A$102:$H$115,MATCH($L109,$B$102:$B$115,0),MATCH($AO$101,$A$102:$H$102,0))*고양시_Modal_split!M$3 * 0.01</f>
        <v>1.3336073874149381</v>
      </c>
      <c r="AZ109" s="303">
        <f>INDEX($A$102:$H$115,MATCH($L109,$B$102:$B$115,0),MATCH($AO$101,$A$102:$H$102,0))*고양시_Modal_split!N$3 * 0.01</f>
        <v>0.57982929887606016</v>
      </c>
      <c r="BA109" s="207">
        <f>INDEX($A$102:$H$115,MATCH($L109,$B$102:$B$115,0),MATCH($AO$101,$A$102:$H$102,0))*고양시_Modal_split!O$3 * 0.01</f>
        <v>1.0436927379769081</v>
      </c>
      <c r="BB109" s="207">
        <f>INDEX($A$102:$H$115,MATCH($L109,$B$102:$B$115,0),MATCH($AO$101,$A$102:$H$102,0))*고양시_Modal_split!P$3 * 0.01</f>
        <v>579.82929887606008</v>
      </c>
      <c r="BC109" s="207">
        <f>INDEX($A$102:$H$115,MATCH($L109,$B$102:$B$115,0),MATCH($BC$101,$A$102:$H$102,0))*고양시_Modal_split!C$3 * 0.01</f>
        <v>4.4027716253639973E-3</v>
      </c>
      <c r="BD109" s="207">
        <f>INDEX($A$102:$H$115,MATCH($L109,$B$102:$B$115,0),MATCH($BC$101,$A$102:$H$102,0))*고양시_Modal_split!D$3 * 0.01</f>
        <v>0.73950839121738854</v>
      </c>
      <c r="BE109" s="207">
        <f>INDEX($A$102:$H$115,MATCH($L109,$B$102:$B$115,0),MATCH($BC$101,$A$102:$H$102,0))*고양시_Modal_split!E$3 * 0.01</f>
        <v>8.9470609101146931E-2</v>
      </c>
      <c r="BF109" s="207">
        <f>INDEX($A$102:$H$115,MATCH($L109,$B$102:$B$115,0),MATCH($BC$101,$A$102:$H$102,0))*고양시_Modal_split!F$3 * 0.01</f>
        <v>0.14419077073067091</v>
      </c>
      <c r="BG109" s="207">
        <f>INDEX($A$102:$H$115,MATCH($L109,$B$102:$B$115,0),MATCH($BC$101,$A$102:$H$102,0))*고양시_Modal_split!G$3 * 0.01</f>
        <v>1.4466249626195991E-2</v>
      </c>
      <c r="BH109" s="207">
        <f>INDEX($A$102:$H$115,MATCH($L109,$B$102:$B$115,0),MATCH($BC$101,$A$102:$H$102,0))*고양시_Modal_split!H$3 * 0.01</f>
        <v>1.5724184376299989E-4</v>
      </c>
      <c r="BI109" s="207">
        <f>INDEX($A$102:$H$115,MATCH($L109,$B$102:$B$115,0),MATCH($BC$101,$A$102:$H$102,0))*고양시_Modal_split!I$3 * 0.01</f>
        <v>4.3713232566113973E-2</v>
      </c>
      <c r="BJ109" s="207">
        <f>INDEX($A$102:$H$115,MATCH($L109,$B$102:$B$115,0),MATCH($BC$101,$A$102:$H$102,0))*고양시_Modal_split!J$3 * 0.01</f>
        <v>0.47864417241457169</v>
      </c>
      <c r="BK109" s="207">
        <f>INDEX($A$102:$H$115,MATCH($L109,$B$102:$B$115,0),MATCH($BC$101,$A$102:$H$102,0))*고양시_Modal_split!K$3 * 0.01</f>
        <v>2.3586276564449985E-3</v>
      </c>
      <c r="BL109" s="207">
        <f>INDEX($A$102:$H$115,MATCH($L109,$B$102:$B$115,0),MATCH($BC$101,$A$102:$H$102,0))*고양시_Modal_split!L$3 * 0.01</f>
        <v>4.7487036816425972E-2</v>
      </c>
      <c r="BM109" s="207">
        <f>INDEX($A$102:$H$115,MATCH($L109,$B$102:$B$115,0),MATCH($BC$101,$A$102:$H$102,0))*고양시_Modal_split!M$3 * 0.01</f>
        <v>3.6165624065489978E-3</v>
      </c>
      <c r="BN109" s="207">
        <f>INDEX($A$102:$H$115,MATCH($L109,$B$102:$B$115,0),MATCH($BC$101,$A$102:$H$102,0))*고양시_Modal_split!N$3 * 0.01</f>
        <v>1.572418437629999E-3</v>
      </c>
      <c r="BO109" s="207">
        <f>INDEX($A$102:$H$115,MATCH($L109,$B$102:$B$115,0),MATCH($BC$101,$A$102:$H$102,0))*고양시_Modal_split!O$3 * 0.01</f>
        <v>2.8303531877339983E-3</v>
      </c>
      <c r="BP109" s="207">
        <f>INDEX($A$102:$H$115,MATCH($L109,$B$102:$B$115,0),MATCH($BC$101,$A$102:$H$102,0))*고양시_Modal_split!P$3 * 0.01</f>
        <v>1.572418437629999</v>
      </c>
      <c r="BQ109" s="207">
        <f>INDEX($A$102:$H$115,MATCH($L109,$B$102:$B$115,0),MATCH($BQ$101,$A$102:$H$102,0))*고양시_Modal_split!C$3 * 0.01</f>
        <v>1.247451960519793E-2</v>
      </c>
      <c r="BR109" s="207">
        <f>INDEX($A$102:$H$115,MATCH($L109,$B$102:$B$115,0),MATCH($BQ$101,$A$102:$H$102,0))*고양시_Modal_split!D$3 * 0.01</f>
        <v>2.0952737751159241</v>
      </c>
      <c r="BS109" s="207">
        <f>INDEX($A$102:$H$115,MATCH($L109,$B$102:$B$115,0),MATCH($BQ$101,$A$102:$H$102,0))*고양시_Modal_split!E$3 * 0.01</f>
        <v>0.25350005911991508</v>
      </c>
      <c r="BT109" s="207">
        <f>INDEX($A$102:$H$115,MATCH($L109,$B$102:$B$115,0),MATCH($BQ$101,$A$102:$H$102,0))*고양시_Modal_split!F$3 * 0.01</f>
        <v>0.40854051707023226</v>
      </c>
      <c r="BU109" s="207">
        <f>INDEX($A$102:$H$115,MATCH($L109,$B$102:$B$115,0),MATCH($BQ$101,$A$102:$H$102,0))*고양시_Modal_split!G$3 * 0.01</f>
        <v>4.0987707274221769E-2</v>
      </c>
      <c r="BV109" s="207">
        <f>INDEX($A$102:$H$115,MATCH($L109,$B$102:$B$115,0),MATCH($BQ$101,$A$102:$H$102,0))*고양시_Modal_split!H$3 * 0.01</f>
        <v>4.4551855732849753E-4</v>
      </c>
      <c r="BW109" s="207">
        <f>INDEX($A$102:$H$115,MATCH($L109,$B$102:$B$115,0),MATCH($BQ$101,$A$102:$H$102,0))*고양시_Modal_split!I$3 * 0.01</f>
        <v>0.1238541589373223</v>
      </c>
      <c r="BX109" s="207">
        <f>INDEX($A$102:$H$115,MATCH($L109,$B$102:$B$115,0),MATCH($BQ$101,$A$102:$H$102,0))*고양시_Modal_split!J$3 * 0.01</f>
        <v>1.3561584885079467</v>
      </c>
      <c r="BY109" s="207">
        <f>INDEX($A$102:$H$115,MATCH($L109,$B$102:$B$115,0),MATCH($BQ$101,$A$102:$H$102,0))*고양시_Modal_split!K$3 * 0.01</f>
        <v>6.6827783599274632E-3</v>
      </c>
      <c r="BZ109" s="207">
        <f>INDEX($A$102:$H$115,MATCH($L109,$B$102:$B$115,0),MATCH($BQ$101,$A$102:$H$102,0))*고양시_Modal_split!L$3 * 0.01</f>
        <v>0.13454660431320625</v>
      </c>
      <c r="CA109" s="207">
        <f>INDEX($A$102:$H$115,MATCH($L109,$B$102:$B$115,0),MATCH($BQ$101,$A$102:$H$102,0))*고양시_Modal_split!M$3 * 0.01</f>
        <v>1.0246926818555442E-2</v>
      </c>
      <c r="CB109" s="207">
        <f>INDEX($A$102:$H$115,MATCH($L109,$B$102:$B$115,0),MATCH($BQ$101,$A$102:$H$102,0))*고양시_Modal_split!N$3 * 0.01</f>
        <v>4.4551855732849754E-3</v>
      </c>
      <c r="CC109" s="207">
        <f>INDEX($A$102:$H$115,MATCH($L109,$B$102:$B$115,0),MATCH($BQ$101,$A$102:$H$102,0))*고양시_Modal_split!O$3 * 0.01</f>
        <v>8.0193340319129544E-3</v>
      </c>
      <c r="CD109" s="207">
        <f>INDEX($A$102:$H$115,MATCH($L109,$B$102:$B$115,0),MATCH($BQ$101,$A$102:$H$102,0))*고양시_Modal_split!P$3 * 0.01</f>
        <v>4.4551855732849752</v>
      </c>
      <c r="CE109" s="304">
        <f t="shared" si="52"/>
        <v>42.978022118626001</v>
      </c>
      <c r="CF109" s="304">
        <f t="shared" si="47"/>
        <v>7218.7727865677889</v>
      </c>
      <c r="CG109" s="304">
        <f t="shared" si="47"/>
        <v>873.37480662493533</v>
      </c>
      <c r="CH109" s="304">
        <f t="shared" si="47"/>
        <v>1407.5302243850012</v>
      </c>
      <c r="CI109" s="304">
        <f t="shared" si="47"/>
        <v>141.21350124691398</v>
      </c>
      <c r="CJ109" s="304">
        <f t="shared" si="47"/>
        <v>1.5349293613795001</v>
      </c>
      <c r="CK109" s="304">
        <f t="shared" si="47"/>
        <v>426.71036246350093</v>
      </c>
      <c r="CL109" s="304">
        <f t="shared" si="47"/>
        <v>4672.3249760391991</v>
      </c>
      <c r="CM109" s="304">
        <f t="shared" si="47"/>
        <v>23.023940420692501</v>
      </c>
      <c r="CN109" s="304">
        <f t="shared" si="47"/>
        <v>463.54866713660908</v>
      </c>
      <c r="CO109" s="304">
        <f t="shared" si="47"/>
        <v>35.303375311728495</v>
      </c>
      <c r="CP109" s="304">
        <f t="shared" si="47"/>
        <v>15.349293613795004</v>
      </c>
      <c r="CQ109" s="304">
        <f t="shared" si="47"/>
        <v>27.628728504830999</v>
      </c>
      <c r="CR109" s="304">
        <f t="shared" si="47"/>
        <v>15349.293613795002</v>
      </c>
      <c r="CS109" s="305">
        <f t="shared" si="53"/>
        <v>0</v>
      </c>
      <c r="CV109" s="267"/>
      <c r="CW109" s="267" t="s">
        <v>301</v>
      </c>
      <c r="CX109" s="267">
        <f>INDEX($M$101:$Z$115,MATCH($CW109,$L$101:$L$115,0),MATCH(CX$102,$M$102:$Z$102,0))/INDEX(고양시_재차인원!$D$4:$H$35,MATCH("고양시",고양시_재차인원!$B$4:$B$35,0),MATCH($CX$101,고양시_재차인원!$D$4:$H$4,0))</f>
        <v>706.38457786077265</v>
      </c>
      <c r="CY109" s="267">
        <f>INDEX($M$101:$Z$115,MATCH($CW109,$L$101:$L$115,0),MATCH(CY$102,$M$102:$Z$102,0))/INDEX(고양시_재차인원!$K$4:$O$20,MATCH("경기도",고양시_재차인원!$K$4:$K$20,0),MATCH(CY$102,고양시_재차인원!$K$4:$O$4,0))</f>
        <v>5.8430901650728916E-3</v>
      </c>
      <c r="CZ109" s="267">
        <f>INDEX($M$101:$Z$115,MATCH($CW109,$L$101:$L$115,0),MATCH(CZ$102,$M$102:$Z$102,0))/INDEX(고양시_재차인원!$K$4:$O$20,MATCH("경기도",고양시_재차인원!$K$4:$K$20,0),MATCH(CZ$102,고양시_재차인원!$K$4:$O$4,0))</f>
        <v>1.6243790658902639</v>
      </c>
      <c r="DA109" s="267">
        <f>INDEX($M$101:$Z$115,MATCH($CW109,$L$101:$L$115,0),MATCH(DA$102,$M$102:$Z$102,0))/INDEX(고양시_재차인원!$D$4:$H$35,MATCH("고양시",고양시_재차인원!$B$4:$B$35,0),MATCH($CX$101,고양시_재차인원!$D$4:$H$4,0))</f>
        <v>45.360013292356662</v>
      </c>
      <c r="DB109" s="267">
        <f>INDEX($AA$101:$AN$115,MATCH($CW109,$L$101:$L$115,0),MATCH(DB$102,$AA$102:$AN$102,0))/INDEX(고양시_재차인원!$D$4:$H$35,MATCH("고양시",고양시_재차인원!$B$4:$B$35,0),MATCH($DB$101,고양시_재차인원!$D$4:$H$4,0))</f>
        <v>4363.1869205219718</v>
      </c>
      <c r="DC109" s="267">
        <f>INDEX($AA$101:$AN$115,MATCH($CW109,$L$101:$L$115,0),MATCH(DC$102,$AA$102:$AN$102,0))/INDEX(고양시_재차인원!$K$4:$O$20,MATCH("경기도",고양시_재차인원!$K$4:$K$20,0),MATCH(DC$102,고양시_재차인원!$K$4:$O$4,0))</f>
        <v>4.5436648323666347E-2</v>
      </c>
      <c r="DD109" s="267">
        <f>INDEX($AA$101:$AN$115,MATCH($CW109,$L$101:$L$115,0),MATCH(DD$102,$AA$102:$AN$102,0))/INDEX(고양시_재차인원!$K$4:$O$20,MATCH("경기도",고양시_재차인원!$K$4:$K$20,0),MATCH(DD$102,고양시_재차인원!$K$4:$O$4,0))</f>
        <v>12.631388233979242</v>
      </c>
      <c r="DE109" s="267">
        <f>INDEX($AA$101:$AN$115,MATCH($CW109,$L$101:$L$115,0),MATCH(DE$102,$AA$102:$AN$102,0))/INDEX(고양시_재차인원!$D$4:$H$35,MATCH("고양시",고양시_재차인원!$B$4:$B$35,0),MATCH($DB$101,고양시_재차인원!$D$4:$H$4,0))</f>
        <v>280.17913034183192</v>
      </c>
      <c r="DF109" s="267">
        <f>INDEX($AO$101:$BB$115,MATCH($CW109,$L$101:$L$115,0),MATCH(DF$102,$AO$102:$BB$102,0))/INDEX(고양시_재차인원!$D$4:$H$35,MATCH("고양시",고양시_재차인원!$B$4:$B$35,0),MATCH($DF$101,고양시_재차인원!$D$4:$H$4,0))</f>
        <v>209.76439943185466</v>
      </c>
      <c r="DG109" s="267">
        <f>INDEX($AO$101:$BB$115,MATCH($CW109,$L$101:$L$115,0),MATCH(DG$102,$AO$102:$BB$102,0))/INDEX(고양시_재차인원!$K$4:$O$20,MATCH("경기도",고양시_재차인원!$K$4:$K$20,0),MATCH(DG$102,고양시_재차인원!$K$4:$O$4,0))</f>
        <v>2.0139954806393193E-3</v>
      </c>
      <c r="DH109" s="267">
        <f>INDEX($AO$101:$BB$115,MATCH($CW109,$L$101:$L$115,0),MATCH(DH$102,$AO$102:$BB$102,0))/INDEX(고양시_재차인원!$K$4:$O$20,MATCH("경기도",고양시_재차인원!$K$4:$K$20,0),MATCH(DH$102,고양시_재차인원!$K$4:$O$4,0))</f>
        <v>0.55989074361773083</v>
      </c>
      <c r="DI109" s="267">
        <f>INDEX($AO$101:$BB$115,MATCH($CW109,$L$101:$L$115,0),MATCH(DI$102,$AO$102:$BB$102,0))/INDEX(고양시_재차인원!$D$4:$H$35,MATCH("고양시",고양시_재차인원!$B$4:$B$35,0),MATCH($DF$101,고양시_재차인원!$D$4:$H$4,0))</f>
        <v>13.469880635428472</v>
      </c>
      <c r="DJ109" s="267">
        <f>INDEX($BC$101:$BP$115,MATCH($CW109,$L$101:$L$115,0),MATCH(DJ$102,$BC$102:$BP$102,0))/INDEX(고양시_재차인원!$D$4:$H$35,MATCH("고양시",고양시_재차인원!$B$4:$B$35,0),MATCH($DJ$101,고양시_재차인원!$D$4:$H$4,0))</f>
        <v>0.54375617001278564</v>
      </c>
      <c r="DK109" s="267">
        <f>INDEX($BC$101:$BP$115,MATCH($CW109,$L$101:$L$115,0),MATCH(DK$102,$BC$102:$BP$102,0))/INDEX(고양시_재차인원!$K$4:$O$20,MATCH("경기도",고양시_재차인원!$K$4:$K$20,0),MATCH(DK$102,고양시_재차인원!$K$4:$O$4,0))</f>
        <v>5.4616826593608856E-6</v>
      </c>
      <c r="DL109" s="267">
        <f>INDEX($BC$101:$BP$115,MATCH($CW109,$L$101:$L$115,0),MATCH(DL$102,$BC$102:$BP$102,0))/INDEX(고양시_재차인원!$K$4:$O$20,MATCH("경기도",고양시_재차인원!$K$4:$K$20,0),MATCH(DL$102,고양시_재차인원!$K$4:$O$4,0))</f>
        <v>1.5183477793023262E-3</v>
      </c>
      <c r="DM109" s="267">
        <f>INDEX($BC$101:$BP$115,MATCH($CW109,$L$101:$L$115,0),MATCH(DM$102,$BC$102:$BP$102,0))/INDEX(고양시_재차인원!$D$4:$H$35,MATCH("고양시",고양시_재차인원!$B$4:$B$35,0),MATCH($DJ$101,고양시_재차인원!$D$4:$H$4,0))</f>
        <v>3.4916938835607328E-2</v>
      </c>
      <c r="DN109" s="267">
        <f>INDEX($BQ$101:$CD$115,MATCH($CW109,$L$101:$L$115,0),MATCH(DN$102,$BQ$102:$CD$102,0))/INDEX(고양시_재차인원!$D$4:$H$35,MATCH("고양시",고양시_재차인원!$B$4:$B$35,0),MATCH($DN$101,고양시_재차인원!$D$4:$H$4,0))</f>
        <v>1.6629156945364476</v>
      </c>
      <c r="DO109" s="267">
        <f>INDEX($BQ$101:$CD$115,MATCH($CW109,$L$101:$L$115,0),MATCH(DO$102,$BQ$102:$CD$102,0))/INDEX(고양시_재차인원!$K$4:$O$20,MATCH("경기도",고양시_재차인원!$K$4:$K$20,0),MATCH(DO$102,고양시_재차인원!$K$4:$O$4,0))</f>
        <v>1.5474767534855769E-5</v>
      </c>
      <c r="DP109" s="267">
        <f>INDEX($BQ$101:$CD$115,MATCH($CW109,$L$101:$L$115,0),MATCH(DP$102,$BQ$102:$CD$102,0))/INDEX(고양시_재차인원!$K$4:$O$20,MATCH("경기도",고양시_재차인원!$K$4:$K$20,0),MATCH(DP$102,고양시_재차인원!$K$4:$O$4,0))</f>
        <v>4.3019853746899027E-3</v>
      </c>
      <c r="DQ109" s="267">
        <f>INDEX($BQ$101:$CD$115,MATCH($CW109,$L$101:$L$115,0),MATCH(DQ$102,$BQ$102:$CD$102,0))/INDEX(고양시_재차인원!$D$4:$H$35,MATCH("고양시",고양시_재차인원!$B$4:$B$35,0),MATCH($DN$101,고양시_재차인원!$D$4:$H$4,0))</f>
        <v>0.10678301929619544</v>
      </c>
      <c r="DR109" s="270">
        <f t="shared" si="54"/>
        <v>5281.542569679149</v>
      </c>
      <c r="DS109" s="270">
        <f t="shared" si="48"/>
        <v>5.3314670419572767E-2</v>
      </c>
      <c r="DT109" s="270">
        <f t="shared" si="48"/>
        <v>14.821478376641229</v>
      </c>
      <c r="DU109" s="270">
        <f t="shared" si="48"/>
        <v>339.15072422774881</v>
      </c>
      <c r="DW109" s="278"/>
      <c r="DX109" s="278" t="s">
        <v>301</v>
      </c>
      <c r="DY109" s="281">
        <f t="shared" si="55"/>
        <v>5620.6932939068975</v>
      </c>
      <c r="DZ109" s="281">
        <f t="shared" si="56"/>
        <v>14.874793047060802</v>
      </c>
      <c r="EB109" s="278"/>
      <c r="EC109" s="278" t="s">
        <v>301</v>
      </c>
      <c r="ED109" s="281">
        <f t="shared" si="57"/>
        <v>5620.6932939068975</v>
      </c>
      <c r="EE109" s="281">
        <f t="shared" si="49"/>
        <v>14.874793047060802</v>
      </c>
      <c r="EL109" s="306" t="s">
        <v>12</v>
      </c>
      <c r="EM109" s="306" t="s">
        <v>363</v>
      </c>
      <c r="EN109" s="306">
        <v>10963.124400000001</v>
      </c>
      <c r="EO109" s="306">
        <v>0.16368976107840044</v>
      </c>
      <c r="EP109" s="307">
        <v>849107</v>
      </c>
      <c r="EQ109" s="308">
        <f t="shared" si="58"/>
        <v>34.074739901028742</v>
      </c>
      <c r="ER109" s="308">
        <f t="shared" si="59"/>
        <v>9.0176545428956714E-2</v>
      </c>
      <c r="ET109" s="420" t="s">
        <v>12</v>
      </c>
      <c r="EU109" s="420" t="s">
        <v>363</v>
      </c>
      <c r="EV109" s="420">
        <v>10963.124400000001</v>
      </c>
      <c r="EW109" s="420">
        <v>0.16368976107840044</v>
      </c>
      <c r="EX109" s="421">
        <v>849107</v>
      </c>
      <c r="EY109" s="422">
        <f t="shared" si="60"/>
        <v>33.103609813849424</v>
      </c>
      <c r="EZ109" s="422">
        <f t="shared" si="50"/>
        <v>8.7606513884231449E-2</v>
      </c>
      <c r="FA109">
        <v>0</v>
      </c>
      <c r="FD109" s="306" t="s">
        <v>12</v>
      </c>
      <c r="FE109" s="306" t="s">
        <v>363</v>
      </c>
      <c r="FF109" s="306">
        <v>10963.124400000001</v>
      </c>
      <c r="FG109" s="306">
        <v>0.16368976107840044</v>
      </c>
      <c r="FH109" s="307">
        <v>849107</v>
      </c>
      <c r="FI109" s="308">
        <f t="shared" si="61"/>
        <v>33.103609813849424</v>
      </c>
      <c r="FJ109" s="308">
        <f t="shared" si="51"/>
        <v>8.7606513884231449E-2</v>
      </c>
      <c r="FL109" s="101"/>
      <c r="FM109" s="101"/>
      <c r="FN109" s="101"/>
      <c r="FO109" s="101"/>
      <c r="FP109" s="374"/>
      <c r="FQ109" s="404"/>
      <c r="FR109" s="404"/>
    </row>
    <row r="110" spans="1:174">
      <c r="A110" s="205"/>
      <c r="B110" s="205" t="s">
        <v>302</v>
      </c>
      <c r="C110" s="400">
        <f>$AB68*KTDB_TripDistribution_2025!L$12 * (1+KTDB_발생량도착량_증가율!$C$8*2)</f>
        <v>20.046673413956103</v>
      </c>
      <c r="D110" s="400">
        <f>$AB68*KTDB_TripDistribution_2025!M$12 * (1+KTDB_발생량도착량_증가율!$C$8*2)</f>
        <v>155.88560577311446</v>
      </c>
      <c r="E110" s="400">
        <f>$AB68*KTDB_TripDistribution_2025!N$12 * (1+KTDB_발생량도착량_증가율!$C$8*2)</f>
        <v>6.9096845191428473</v>
      </c>
      <c r="F110" s="400">
        <f>$AB68*KTDB_TripDistribution_2025!O$12 * (1+KTDB_발생량도착량_증가율!$C$8*2)</f>
        <v>1.8738127509539994E-2</v>
      </c>
      <c r="G110" s="400">
        <f>$AB68*KTDB_TripDistribution_2025!P$12 * (1+KTDB_발생량도착량_증가율!$C$8*2)</f>
        <v>5.3091361277029722E-2</v>
      </c>
      <c r="H110" s="400">
        <f>$AB68*KTDB_TripDistribution_2025!Q$12 * (1+KTDB_발생량도착량_증가율!$C$8*2)</f>
        <v>182.91379319499998</v>
      </c>
      <c r="I110" s="56"/>
      <c r="J110" s="56"/>
      <c r="K110" s="206"/>
      <c r="L110" s="206" t="s">
        <v>302</v>
      </c>
      <c r="M110" s="206">
        <f>INDEX($A$102:$H$115,MATCH($L110,$B$102:$B$115,0),MATCH($M$101,$A$102:$H$102,0))*고양시_Modal_split!C$3 * 0.01</f>
        <v>5.6130685559077083E-2</v>
      </c>
      <c r="N110" s="206">
        <f>INDEX($A$102:$H$115,MATCH($L110,$B$102:$B$115,0),MATCH($M$101,$A$102:$H$102,0))*고양시_Modal_split!D$3 * 0.01</f>
        <v>9.4279505065835547</v>
      </c>
      <c r="O110" s="206">
        <f>INDEX($A$102:$H$115,MATCH($L110,$B$102:$B$115,0),MATCH($M$101,$A$102:$H$102,0))*고양시_Modal_split!E$3 * 0.01</f>
        <v>1.1406557172541023</v>
      </c>
      <c r="P110" s="206">
        <f>INDEX($A$102:$H$115,MATCH($L110,$B$102:$B$115,0),MATCH($M$101,$A$102:$H$102,0))*고양시_Modal_split!F$3 * 0.01</f>
        <v>1.8382799520597746</v>
      </c>
      <c r="Q110" s="206">
        <f>INDEX($A$102:$H$115,MATCH($L110,$B$102:$B$115,0),MATCH($M$101,$A$102:$H$102,0))*고양시_Modal_split!G$3 * 0.01</f>
        <v>0.18442939540839615</v>
      </c>
      <c r="R110" s="206">
        <f>INDEX($A$102:$H$115,MATCH($L110,$B$102:$B$115,0),MATCH($M$101,$A$102:$H$102,0))*고양시_Modal_split!H$3 * 0.01</f>
        <v>2.0046673413956105E-3</v>
      </c>
      <c r="S110" s="206">
        <f>INDEX($A$102:$H$115,MATCH($L110,$B$102:$B$115,0),MATCH($M$101,$A$102:$H$102,0))*고양시_Modal_split!I$3 * 0.01</f>
        <v>0.55729752090797968</v>
      </c>
      <c r="T110" s="206">
        <f>INDEX($A$102:$H$115,MATCH($L110,$B$102:$B$115,0),MATCH($M$101,$A$102:$H$102,0))*고양시_Modal_split!J$3 * 0.01</f>
        <v>6.1022073872082379</v>
      </c>
      <c r="U110" s="206">
        <f>INDEX($A$102:$H$115,MATCH($L110,$B$102:$B$115,0),MATCH($M$101,$A$102:$H$102,0))*고양시_Modal_split!K$3 * 0.01</f>
        <v>3.0070010120934156E-2</v>
      </c>
      <c r="V110" s="206">
        <f>INDEX($A$102:$H$115,MATCH($L110,$B$102:$B$115,0),MATCH($M$101,$A$102:$H$102,0))*고양시_Modal_split!L$3 * 0.01</f>
        <v>0.60540953710147438</v>
      </c>
      <c r="W110" s="206">
        <f>INDEX($A$102:$H$115,MATCH($L110,$B$102:$B$115,0),MATCH($M$101,$A$102:$H$102,0))*고양시_Modal_split!M$3 * 0.01</f>
        <v>4.6107348852099037E-2</v>
      </c>
      <c r="X110" s="206">
        <f>INDEX($A$102:$H$115,MATCH($L110,$B$102:$B$115,0),MATCH($M$101,$A$102:$H$102,0))*고양시_Modal_split!N$3 * 0.01</f>
        <v>2.0046673413956103E-2</v>
      </c>
      <c r="Y110" s="206">
        <f>INDEX($A$102:$H$115,MATCH($L110,$B$102:$B$115,0),MATCH($M$101,$A$102:$H$102,0))*고양시_Modal_split!O$3 * 0.01</f>
        <v>3.6084012145120983E-2</v>
      </c>
      <c r="Z110" s="209">
        <f>INDEX($A$102:$H$115,MATCH($L110,$B$102:$B$115,0),MATCH($M$101,$A$102:$H$102,0))*고양시_Modal_split!P$3 * 0.01</f>
        <v>20.046673413956103</v>
      </c>
      <c r="AA110" s="207">
        <f>INDEX($A$102:$H$115,MATCH($L110,$B$102:$B$115,0),MATCH($AA$101,$A$102:$H$102,0))*고양시_Modal_split!C$3 * 0.01</f>
        <v>0.43647969616472049</v>
      </c>
      <c r="AB110" s="207">
        <f>INDEX($A$102:$H$115,MATCH($L110,$B$102:$B$115,0),MATCH($AA$101,$A$102:$H$102,0))*고양시_Modal_split!D$3 * 0.01</f>
        <v>73.313000395095727</v>
      </c>
      <c r="AC110" s="207">
        <f>INDEX($A$102:$H$115,MATCH($L110,$B$102:$B$115,0),MATCH($AA$101,$A$102:$H$102,0))*고양시_Modal_split!E$3 * 0.01</f>
        <v>8.8698909684902123</v>
      </c>
      <c r="AD110" s="207">
        <f>INDEX($A$102:$H$115,MATCH($L110,$B$102:$B$115,0),MATCH($AA$101,$A$102:$H$102,0))*고양시_Modal_split!F$3 * 0.01</f>
        <v>14.294710049394595</v>
      </c>
      <c r="AE110" s="207">
        <f>INDEX($A$102:$H$115,MATCH($L110,$B$102:$B$115,0),MATCH($AA$101,$A$102:$H$102,0))*고양시_Modal_split!G$3 * 0.01</f>
        <v>1.4341475731126532</v>
      </c>
      <c r="AF110" s="207">
        <f>INDEX($A$102:$H$115,MATCH($L110,$B$102:$B$115,0),MATCH($AA$101,$A$102:$H$102,0))*고양시_Modal_split!H$3 * 0.01</f>
        <v>1.5588560577311448E-2</v>
      </c>
      <c r="AG110" s="207">
        <f>INDEX($A$102:$H$115,MATCH($L110,$B$102:$B$115,0),MATCH($AA$101,$A$102:$H$102,0))*고양시_Modal_split!I$3 * 0.01</f>
        <v>4.3336198404925819</v>
      </c>
      <c r="AH110" s="207">
        <f>INDEX($A$102:$H$115,MATCH($L110,$B$102:$B$115,0),MATCH($AA$101,$A$102:$H$102,0))*고양시_Modal_split!J$3 * 0.01</f>
        <v>47.451578397336043</v>
      </c>
      <c r="AI110" s="207">
        <f>INDEX($A$102:$H$115,MATCH($L110,$B$102:$B$115,0),MATCH($AA$101,$A$102:$H$102,0))*고양시_Modal_split!K$3 * 0.01</f>
        <v>0.23382840865967169</v>
      </c>
      <c r="AJ110" s="207">
        <f>INDEX($A$102:$H$115,MATCH($L110,$B$102:$B$115,0),MATCH($AA$101,$A$102:$H$102,0))*고양시_Modal_split!L$3 * 0.01</f>
        <v>4.7077452943480571</v>
      </c>
      <c r="AK110" s="207">
        <f>INDEX($A$102:$H$115,MATCH($L110,$B$102:$B$115,0),MATCH($AA$101,$A$102:$H$102,0))*고양시_Modal_split!M$3 * 0.01</f>
        <v>0.35853689327816329</v>
      </c>
      <c r="AL110" s="207">
        <f>INDEX($A$102:$H$115,MATCH($L110,$B$102:$B$115,0),MATCH($AA$101,$A$102:$H$102,0))*고양시_Modal_split!N$3 * 0.01</f>
        <v>0.15588560577311447</v>
      </c>
      <c r="AM110" s="207">
        <f>INDEX($A$102:$H$115,MATCH($L110,$B$102:$B$115,0),MATCH($AA$101,$A$102:$H$102,0))*고양시_Modal_split!O$3 * 0.01</f>
        <v>0.28059409039160604</v>
      </c>
      <c r="AN110" s="207">
        <f>INDEX($A$102:$H$115,MATCH($L110,$B$102:$B$115,0),MATCH($AA$101,$A$102:$H$102,0))*고양시_Modal_split!P$3 * 0.01</f>
        <v>155.88560577311446</v>
      </c>
      <c r="AO110" s="303">
        <f>INDEX($A$102:$H$115,MATCH($L110,$B$102:$B$115,0),MATCH($AO$101,$A$102:$H$102,0))*고양시_Modal_split!C$3 * 0.01</f>
        <v>1.934711665359997E-2</v>
      </c>
      <c r="AP110" s="303">
        <f>INDEX($A$102:$H$115,MATCH($L110,$B$102:$B$115,0),MATCH($AO$101,$A$102:$H$102,0))*고양시_Modal_split!D$3 * 0.01</f>
        <v>3.2496246293528812</v>
      </c>
      <c r="AQ110" s="303">
        <f>INDEX($A$102:$H$115,MATCH($L110,$B$102:$B$115,0),MATCH($AO$101,$A$102:$H$102,0))*고양시_Modal_split!E$3 * 0.01</f>
        <v>0.393161049139228</v>
      </c>
      <c r="AR110" s="303">
        <f>INDEX($A$102:$H$115,MATCH($L110,$B$102:$B$115,0),MATCH($AO$101,$A$102:$H$102,0))*고양시_Modal_split!F$3 * 0.01</f>
        <v>0.63361807040539908</v>
      </c>
      <c r="AS110" s="303">
        <f>INDEX($A$102:$H$115,MATCH($L110,$B$102:$B$115,0),MATCH($AO$101,$A$102:$H$102,0))*고양시_Modal_split!G$3 * 0.01</f>
        <v>6.3569097576114189E-2</v>
      </c>
      <c r="AT110" s="303">
        <f>INDEX($A$102:$H$115,MATCH($L110,$B$102:$B$115,0),MATCH($AO$101,$A$102:$H$102,0))*고양시_Modal_split!H$3 * 0.01</f>
        <v>6.9096845191428478E-4</v>
      </c>
      <c r="AU110" s="303">
        <f>INDEX($A$102:$H$115,MATCH($L110,$B$102:$B$115,0),MATCH($AO$101,$A$102:$H$102,0))*고양시_Modal_split!I$3 * 0.01</f>
        <v>0.19208922963217112</v>
      </c>
      <c r="AV110" s="303">
        <f>INDEX($A$102:$H$115,MATCH($L110,$B$102:$B$115,0),MATCH($AO$101,$A$102:$H$102,0))*고양시_Modal_split!J$3 * 0.01</f>
        <v>2.1033079676270829</v>
      </c>
      <c r="AW110" s="303">
        <f>INDEX($A$102:$H$115,MATCH($L110,$B$102:$B$115,0),MATCH($AO$101,$A$102:$H$102,0))*고양시_Modal_split!K$3 * 0.01</f>
        <v>1.0364526778714271E-2</v>
      </c>
      <c r="AX110" s="303">
        <f>INDEX($A$102:$H$115,MATCH($L110,$B$102:$B$115,0),MATCH($AO$101,$A$102:$H$102,0))*고양시_Modal_split!L$3 * 0.01</f>
        <v>0.20867247247811399</v>
      </c>
      <c r="AY110" s="303">
        <f>INDEX($A$102:$H$115,MATCH($L110,$B$102:$B$115,0),MATCH($AO$101,$A$102:$H$102,0))*고양시_Modal_split!M$3 * 0.01</f>
        <v>1.5892274394028547E-2</v>
      </c>
      <c r="AZ110" s="303">
        <f>INDEX($A$102:$H$115,MATCH($L110,$B$102:$B$115,0),MATCH($AO$101,$A$102:$H$102,0))*고양시_Modal_split!N$3 * 0.01</f>
        <v>6.9096845191428478E-3</v>
      </c>
      <c r="BA110" s="207">
        <f>INDEX($A$102:$H$115,MATCH($L110,$B$102:$B$115,0),MATCH($AO$101,$A$102:$H$102,0))*고양시_Modal_split!O$3 * 0.01</f>
        <v>1.2437432134457124E-2</v>
      </c>
      <c r="BB110" s="207">
        <f>INDEX($A$102:$H$115,MATCH($L110,$B$102:$B$115,0),MATCH($AO$101,$A$102:$H$102,0))*고양시_Modal_split!P$3 * 0.01</f>
        <v>6.9096845191428473</v>
      </c>
      <c r="BC110" s="207">
        <f>INDEX($A$102:$H$115,MATCH($L110,$B$102:$B$115,0),MATCH($BC$101,$A$102:$H$102,0))*고양시_Modal_split!C$3 * 0.01</f>
        <v>5.2466757026711976E-5</v>
      </c>
      <c r="BD110" s="207">
        <f>INDEX($A$102:$H$115,MATCH($L110,$B$102:$B$115,0),MATCH($BC$101,$A$102:$H$102,0))*고양시_Modal_split!D$3 * 0.01</f>
        <v>8.812541367736659E-3</v>
      </c>
      <c r="BE110" s="207">
        <f>INDEX($A$102:$H$115,MATCH($L110,$B$102:$B$115,0),MATCH($BC$101,$A$102:$H$102,0))*고양시_Modal_split!E$3 * 0.01</f>
        <v>1.0661994552928257E-3</v>
      </c>
      <c r="BF110" s="207">
        <f>INDEX($A$102:$H$115,MATCH($L110,$B$102:$B$115,0),MATCH($BC$101,$A$102:$H$102,0))*고양시_Modal_split!F$3 * 0.01</f>
        <v>1.7182862926248175E-3</v>
      </c>
      <c r="BG110" s="207">
        <f>INDEX($A$102:$H$115,MATCH($L110,$B$102:$B$115,0),MATCH($BC$101,$A$102:$H$102,0))*고양시_Modal_split!G$3 * 0.01</f>
        <v>1.7239077308776795E-4</v>
      </c>
      <c r="BH110" s="207">
        <f>INDEX($A$102:$H$115,MATCH($L110,$B$102:$B$115,0),MATCH($BC$101,$A$102:$H$102,0))*고양시_Modal_split!H$3 * 0.01</f>
        <v>1.8738127509539995E-6</v>
      </c>
      <c r="BI110" s="207">
        <f>INDEX($A$102:$H$115,MATCH($L110,$B$102:$B$115,0),MATCH($BC$101,$A$102:$H$102,0))*고양시_Modal_split!I$3 * 0.01</f>
        <v>5.2091994476521181E-4</v>
      </c>
      <c r="BJ110" s="207">
        <f>INDEX($A$102:$H$115,MATCH($L110,$B$102:$B$115,0),MATCH($BC$101,$A$102:$H$102,0))*고양시_Modal_split!J$3 * 0.01</f>
        <v>5.7038860139039752E-3</v>
      </c>
      <c r="BK110" s="207">
        <f>INDEX($A$102:$H$115,MATCH($L110,$B$102:$B$115,0),MATCH($BC$101,$A$102:$H$102,0))*고양시_Modal_split!K$3 * 0.01</f>
        <v>2.810719126430999E-5</v>
      </c>
      <c r="BL110" s="207">
        <f>INDEX($A$102:$H$115,MATCH($L110,$B$102:$B$115,0),MATCH($BC$101,$A$102:$H$102,0))*고양시_Modal_split!L$3 * 0.01</f>
        <v>5.6589145078810791E-4</v>
      </c>
      <c r="BM110" s="207">
        <f>INDEX($A$102:$H$115,MATCH($L110,$B$102:$B$115,0),MATCH($BC$101,$A$102:$H$102,0))*고양시_Modal_split!M$3 * 0.01</f>
        <v>4.3097693271941988E-5</v>
      </c>
      <c r="BN110" s="207">
        <f>INDEX($A$102:$H$115,MATCH($L110,$B$102:$B$115,0),MATCH($BC$101,$A$102:$H$102,0))*고양시_Modal_split!N$3 * 0.01</f>
        <v>1.8738127509539994E-5</v>
      </c>
      <c r="BO110" s="207">
        <f>INDEX($A$102:$H$115,MATCH($L110,$B$102:$B$115,0),MATCH($BC$101,$A$102:$H$102,0))*고양시_Modal_split!O$3 * 0.01</f>
        <v>3.3728629517171992E-5</v>
      </c>
      <c r="BP110" s="207">
        <f>INDEX($A$102:$H$115,MATCH($L110,$B$102:$B$115,0),MATCH($BC$101,$A$102:$H$102,0))*고양시_Modal_split!P$3 * 0.01</f>
        <v>1.8738127509539994E-2</v>
      </c>
      <c r="BQ110" s="207">
        <f>INDEX($A$102:$H$115,MATCH($L110,$B$102:$B$115,0),MATCH($BQ$101,$A$102:$H$102,0))*고양시_Modal_split!C$3 * 0.01</f>
        <v>1.4865581157568321E-4</v>
      </c>
      <c r="BR110" s="207">
        <f>INDEX($A$102:$H$115,MATCH($L110,$B$102:$B$115,0),MATCH($BQ$101,$A$102:$H$102,0))*고양시_Modal_split!D$3 * 0.01</f>
        <v>2.4968867208587077E-2</v>
      </c>
      <c r="BS110" s="207">
        <f>INDEX($A$102:$H$115,MATCH($L110,$B$102:$B$115,0),MATCH($BQ$101,$A$102:$H$102,0))*고양시_Modal_split!E$3 * 0.01</f>
        <v>3.020898456662991E-3</v>
      </c>
      <c r="BT110" s="207">
        <f>INDEX($A$102:$H$115,MATCH($L110,$B$102:$B$115,0),MATCH($BQ$101,$A$102:$H$102,0))*고양시_Modal_split!F$3 * 0.01</f>
        <v>4.8684778291036256E-3</v>
      </c>
      <c r="BU110" s="207">
        <f>INDEX($A$102:$H$115,MATCH($L110,$B$102:$B$115,0),MATCH($BQ$101,$A$102:$H$102,0))*고양시_Modal_split!G$3 * 0.01</f>
        <v>4.8844052374867337E-4</v>
      </c>
      <c r="BV110" s="207">
        <f>INDEX($A$102:$H$115,MATCH($L110,$B$102:$B$115,0),MATCH($BQ$101,$A$102:$H$102,0))*고양시_Modal_split!H$3 * 0.01</f>
        <v>5.3091361277029721E-6</v>
      </c>
      <c r="BW110" s="207">
        <f>INDEX($A$102:$H$115,MATCH($L110,$B$102:$B$115,0),MATCH($BQ$101,$A$102:$H$102,0))*고양시_Modal_split!I$3 * 0.01</f>
        <v>1.4759398435014262E-3</v>
      </c>
      <c r="BX110" s="207">
        <f>INDEX($A$102:$H$115,MATCH($L110,$B$102:$B$115,0),MATCH($BQ$101,$A$102:$H$102,0))*고양시_Modal_split!J$3 * 0.01</f>
        <v>1.6161010372727849E-2</v>
      </c>
      <c r="BY110" s="207">
        <f>INDEX($A$102:$H$115,MATCH($L110,$B$102:$B$115,0),MATCH($BQ$101,$A$102:$H$102,0))*고양시_Modal_split!K$3 * 0.01</f>
        <v>7.9637041915544586E-5</v>
      </c>
      <c r="BZ110" s="207">
        <f>INDEX($A$102:$H$115,MATCH($L110,$B$102:$B$115,0),MATCH($BQ$101,$A$102:$H$102,0))*고양시_Modal_split!L$3 * 0.01</f>
        <v>1.6033591105662976E-3</v>
      </c>
      <c r="CA110" s="207">
        <f>INDEX($A$102:$H$115,MATCH($L110,$B$102:$B$115,0),MATCH($BQ$101,$A$102:$H$102,0))*고양시_Modal_split!M$3 * 0.01</f>
        <v>1.2211013093716834E-4</v>
      </c>
      <c r="CB110" s="207">
        <f>INDEX($A$102:$H$115,MATCH($L110,$B$102:$B$115,0),MATCH($BQ$101,$A$102:$H$102,0))*고양시_Modal_split!N$3 * 0.01</f>
        <v>5.3091361277029726E-5</v>
      </c>
      <c r="CC110" s="207">
        <f>INDEX($A$102:$H$115,MATCH($L110,$B$102:$B$115,0),MATCH($BQ$101,$A$102:$H$102,0))*고양시_Modal_split!O$3 * 0.01</f>
        <v>9.5564450298653503E-5</v>
      </c>
      <c r="CD110" s="207">
        <f>INDEX($A$102:$H$115,MATCH($L110,$B$102:$B$115,0),MATCH($BQ$101,$A$102:$H$102,0))*고양시_Modal_split!P$3 * 0.01</f>
        <v>5.3091361277029722E-2</v>
      </c>
      <c r="CE110" s="304">
        <f t="shared" si="52"/>
        <v>0.51215862094599995</v>
      </c>
      <c r="CF110" s="304">
        <f t="shared" si="47"/>
        <v>86.024356939608481</v>
      </c>
      <c r="CG110" s="304">
        <f t="shared" si="47"/>
        <v>10.407794832795499</v>
      </c>
      <c r="CH110" s="304">
        <f t="shared" si="47"/>
        <v>16.773194835981499</v>
      </c>
      <c r="CI110" s="304">
        <f t="shared" si="47"/>
        <v>1.682806897394</v>
      </c>
      <c r="CJ110" s="304">
        <f t="shared" si="47"/>
        <v>1.8291379319499996E-2</v>
      </c>
      <c r="CK110" s="304">
        <f t="shared" si="47"/>
        <v>5.0850034508210005</v>
      </c>
      <c r="CL110" s="304">
        <f t="shared" si="47"/>
        <v>55.678958648557995</v>
      </c>
      <c r="CM110" s="304">
        <f t="shared" si="47"/>
        <v>0.27437068979249996</v>
      </c>
      <c r="CN110" s="304">
        <f t="shared" si="47"/>
        <v>5.523996554489</v>
      </c>
      <c r="CO110" s="304">
        <f t="shared" si="47"/>
        <v>0.42070172434850001</v>
      </c>
      <c r="CP110" s="304">
        <f t="shared" si="47"/>
        <v>0.18291379319500001</v>
      </c>
      <c r="CQ110" s="304">
        <f t="shared" si="47"/>
        <v>0.329244827751</v>
      </c>
      <c r="CR110" s="304">
        <f t="shared" si="47"/>
        <v>182.91379319500001</v>
      </c>
      <c r="CS110" s="305">
        <f t="shared" si="53"/>
        <v>0</v>
      </c>
      <c r="CV110" s="267"/>
      <c r="CW110" s="267" t="s">
        <v>302</v>
      </c>
      <c r="CX110" s="267">
        <f>INDEX($M$101:$Z$115,MATCH($CW110,$L$101:$L$115,0),MATCH(CX$102,$M$102:$Z$102,0))/INDEX(고양시_재차인원!$D$4:$H$35,MATCH("고양시",고양시_재차인원!$B$4:$B$35,0),MATCH($CX$101,고양시_재차인원!$D$4:$H$4,0))</f>
        <v>8.4178129523067451</v>
      </c>
      <c r="CY110" s="267">
        <f>INDEX($M$101:$Z$115,MATCH($CW110,$L$101:$L$115,0),MATCH(CY$102,$M$102:$Z$102,0))/INDEX(고양시_재차인원!$K$4:$O$20,MATCH("경기도",고양시_재차인원!$K$4:$K$20,0),MATCH(CY$102,고양시_재차인원!$K$4:$O$4,0))</f>
        <v>6.9630682229788486E-5</v>
      </c>
      <c r="CZ110" s="267">
        <f>INDEX($M$101:$Z$115,MATCH($CW110,$L$101:$L$115,0),MATCH(CZ$102,$M$102:$Z$102,0))/INDEX(고양시_재차인원!$K$4:$O$20,MATCH("경기도",고양시_재차인원!$K$4:$K$20,0),MATCH(CZ$102,고양시_재차인원!$K$4:$O$4,0))</f>
        <v>1.9357329659881198E-2</v>
      </c>
      <c r="DA110" s="267">
        <f>INDEX($M$101:$Z$115,MATCH($CW110,$L$101:$L$115,0),MATCH(DA$102,$M$102:$Z$102,0))/INDEX(고양시_재차인원!$D$4:$H$35,MATCH("고양시",고양시_재차인원!$B$4:$B$35,0),MATCH($CX$101,고양시_재차인원!$D$4:$H$4,0))</f>
        <v>0.54054422955488779</v>
      </c>
      <c r="DB110" s="267">
        <f>INDEX($AA$101:$AN$115,MATCH($CW110,$L$101:$L$115,0),MATCH(DB$102,$AA$102:$AN$102,0))/INDEX(고양시_재차인원!$D$4:$H$35,MATCH("고양시",고양시_재차인원!$B$4:$B$35,0),MATCH($DB$101,고양시_재차인원!$D$4:$H$4,0))</f>
        <v>51.995035741202649</v>
      </c>
      <c r="DC110" s="267">
        <f>INDEX($AA$101:$AN$115,MATCH($CW110,$L$101:$L$115,0),MATCH(DC$102,$AA$102:$AN$102,0))/INDEX(고양시_재차인원!$K$4:$O$20,MATCH("경기도",고양시_재차인원!$K$4:$K$20,0),MATCH(DC$102,고양시_재차인원!$K$4:$O$4,0))</f>
        <v>5.414574705561462E-4</v>
      </c>
      <c r="DD110" s="267">
        <f>INDEX($AA$101:$AN$115,MATCH($CW110,$L$101:$L$115,0),MATCH(DD$102,$AA$102:$AN$102,0))/INDEX(고양시_재차인원!$K$4:$O$20,MATCH("경기도",고양시_재차인원!$K$4:$K$20,0),MATCH(DD$102,고양시_재차인원!$K$4:$O$4,0))</f>
        <v>0.15052517681460861</v>
      </c>
      <c r="DE110" s="267">
        <f>INDEX($AA$101:$AN$115,MATCH($CW110,$L$101:$L$115,0),MATCH(DE$102,$AA$102:$AN$102,0))/INDEX(고양시_재차인원!$D$4:$H$35,MATCH("고양시",고양시_재차인원!$B$4:$B$35,0),MATCH($DB$101,고양시_재차인원!$D$4:$H$4,0))</f>
        <v>3.3388264498922391</v>
      </c>
      <c r="DF110" s="267">
        <f>INDEX($AO$101:$BB$115,MATCH($CW110,$L$101:$L$115,0),MATCH(DF$102,$AO$102:$BB$102,0))/INDEX(고양시_재차인원!$D$4:$H$35,MATCH("고양시",고양시_재차인원!$B$4:$B$35,0),MATCH($DF$101,고양시_재차인원!$D$4:$H$4,0))</f>
        <v>2.4997112533483703</v>
      </c>
      <c r="DG110" s="267">
        <f>INDEX($AO$101:$BB$115,MATCH($CW110,$L$101:$L$115,0),MATCH(DG$102,$AO$102:$BB$102,0))/INDEX(고양시_재차인원!$K$4:$O$20,MATCH("경기도",고양시_재차인원!$K$4:$K$20,0),MATCH(DG$102,고양시_재차인원!$K$4:$O$4,0))</f>
        <v>2.4000293571180438E-5</v>
      </c>
      <c r="DH110" s="267">
        <f>INDEX($AO$101:$BB$115,MATCH($CW110,$L$101:$L$115,0),MATCH(DH$102,$AO$102:$BB$102,0))/INDEX(고양시_재차인원!$K$4:$O$20,MATCH("경기도",고양시_재차인원!$K$4:$K$20,0),MATCH(DH$102,고양시_재차인원!$K$4:$O$4,0))</f>
        <v>6.6720816127881603E-3</v>
      </c>
      <c r="DI110" s="267">
        <f>INDEX($AO$101:$BB$115,MATCH($CW110,$L$101:$L$115,0),MATCH(DI$102,$AO$102:$BB$102,0))/INDEX(고양시_재차인원!$D$4:$H$35,MATCH("고양시",고양시_재차인원!$B$4:$B$35,0),MATCH($DF$101,고양시_재차인원!$D$4:$H$4,0))</f>
        <v>0.16051728652162614</v>
      </c>
      <c r="DJ110" s="267">
        <f>INDEX($BC$101:$BP$115,MATCH($CW110,$L$101:$L$115,0),MATCH(DJ$102,$BC$102:$BP$102,0))/INDEX(고양시_재차인원!$D$4:$H$35,MATCH("고양시",고양시_재차인원!$B$4:$B$35,0),MATCH($DJ$101,고양시_재차인원!$D$4:$H$4,0))</f>
        <v>6.4798098292181312E-3</v>
      </c>
      <c r="DK110" s="267">
        <f>INDEX($BC$101:$BP$115,MATCH($CW110,$L$101:$L$115,0),MATCH(DK$102,$BC$102:$BP$102,0))/INDEX(고양시_재차인원!$K$4:$O$20,MATCH("경기도",고양시_재차인원!$K$4:$K$20,0),MATCH(DK$102,고양시_재차인원!$K$4:$O$4,0))</f>
        <v>6.5085541887947187E-8</v>
      </c>
      <c r="DL110" s="267">
        <f>INDEX($BC$101:$BP$115,MATCH($CW110,$L$101:$L$115,0),MATCH(DL$102,$BC$102:$BP$102,0))/INDEX(고양시_재차인원!$K$4:$O$20,MATCH("경기도",고양시_재차인원!$K$4:$K$20,0),MATCH(DL$102,고양시_재차인원!$K$4:$O$4,0))</f>
        <v>1.8093780644849318E-5</v>
      </c>
      <c r="DM110" s="267">
        <f>INDEX($BC$101:$BP$115,MATCH($CW110,$L$101:$L$115,0),MATCH(DM$102,$BC$102:$BP$102,0))/INDEX(고양시_재차인원!$D$4:$H$35,MATCH("고양시",고양시_재차인원!$B$4:$B$35,0),MATCH($DJ$101,고양시_재차인원!$D$4:$H$4,0))</f>
        <v>4.1609665499125581E-4</v>
      </c>
      <c r="DN110" s="267">
        <f>INDEX($BQ$101:$CD$115,MATCH($CW110,$L$101:$L$115,0),MATCH(DN$102,$BQ$102:$CD$102,0))/INDEX(고양시_재차인원!$D$4:$H$35,MATCH("고양시",고양시_재차인원!$B$4:$B$35,0),MATCH($DN$101,고양시_재차인원!$D$4:$H$4,0))</f>
        <v>1.9816561276656409E-2</v>
      </c>
      <c r="DO110" s="267">
        <f>INDEX($BQ$101:$CD$115,MATCH($CW110,$L$101:$L$115,0),MATCH(DO$102,$BQ$102:$CD$102,0))/INDEX(고양시_재차인원!$K$4:$O$20,MATCH("경기도",고양시_재차인원!$K$4:$K$20,0),MATCH(DO$102,고양시_재차인원!$K$4:$O$4,0))</f>
        <v>1.8440903534918278E-7</v>
      </c>
      <c r="DP110" s="267">
        <f>INDEX($BQ$101:$CD$115,MATCH($CW110,$L$101:$L$115,0),MATCH(DP$102,$BQ$102:$CD$102,0))/INDEX(고양시_재차인원!$K$4:$O$20,MATCH("경기도",고양시_재차인원!$K$4:$K$20,0),MATCH(DP$102,고양시_재차인원!$K$4:$O$4,0))</f>
        <v>5.1265711827072809E-5</v>
      </c>
      <c r="DQ110" s="267">
        <f>INDEX($BQ$101:$CD$115,MATCH($CW110,$L$101:$L$115,0),MATCH(DQ$102,$BQ$102:$CD$102,0))/INDEX(고양시_재차인원!$D$4:$H$35,MATCH("고양시",고양시_재차인원!$B$4:$B$35,0),MATCH($DN$101,고양시_재차인원!$D$4:$H$4,0))</f>
        <v>1.2725072306081727E-3</v>
      </c>
      <c r="DR110" s="270">
        <f t="shared" si="54"/>
        <v>62.938856317963641</v>
      </c>
      <c r="DS110" s="270">
        <f t="shared" si="48"/>
        <v>6.3533794093435228E-4</v>
      </c>
      <c r="DT110" s="270">
        <f t="shared" si="48"/>
        <v>0.17662394757974989</v>
      </c>
      <c r="DU110" s="270">
        <f t="shared" si="48"/>
        <v>4.0415765698543522</v>
      </c>
      <c r="DW110" s="278"/>
      <c r="DX110" s="278" t="s">
        <v>302</v>
      </c>
      <c r="DY110" s="281">
        <f t="shared" si="55"/>
        <v>66.980432887817997</v>
      </c>
      <c r="DZ110" s="281">
        <f t="shared" si="56"/>
        <v>0.17725928552068423</v>
      </c>
      <c r="EB110" s="278"/>
      <c r="EC110" s="278" t="s">
        <v>302</v>
      </c>
      <c r="ED110" s="281">
        <f t="shared" si="57"/>
        <v>66.980432887817997</v>
      </c>
      <c r="EE110" s="281">
        <f t="shared" si="49"/>
        <v>0.17725928552068423</v>
      </c>
      <c r="EL110" s="306" t="s">
        <v>668</v>
      </c>
      <c r="EM110" s="306" t="s">
        <v>569</v>
      </c>
      <c r="EN110" s="306">
        <v>26312.316800000001</v>
      </c>
      <c r="EO110" s="306">
        <v>0.1416840985854132</v>
      </c>
      <c r="EP110" s="307">
        <v>849108</v>
      </c>
      <c r="EQ110" s="308">
        <f t="shared" si="58"/>
        <v>642.30844106793518</v>
      </c>
      <c r="ER110" s="308">
        <f t="shared" si="59"/>
        <v>1.6998268067078144</v>
      </c>
      <c r="ET110" s="420" t="s">
        <v>668</v>
      </c>
      <c r="EU110" s="420" t="s">
        <v>569</v>
      </c>
      <c r="EV110" s="420">
        <v>26312.316800000001</v>
      </c>
      <c r="EW110" s="420">
        <v>0.1416840985854132</v>
      </c>
      <c r="EX110" s="421">
        <v>849108</v>
      </c>
      <c r="EY110" s="422">
        <f t="shared" si="60"/>
        <v>624.00265049749908</v>
      </c>
      <c r="EZ110" s="422">
        <f t="shared" si="50"/>
        <v>1.6513817427166417</v>
      </c>
      <c r="FA110">
        <v>0</v>
      </c>
      <c r="FD110" s="306" t="s">
        <v>668</v>
      </c>
      <c r="FE110" s="306" t="s">
        <v>569</v>
      </c>
      <c r="FF110" s="306">
        <v>26312.316800000001</v>
      </c>
      <c r="FG110" s="306">
        <v>0.1416840985854132</v>
      </c>
      <c r="FH110" s="307">
        <v>849108</v>
      </c>
      <c r="FI110" s="308">
        <f t="shared" si="61"/>
        <v>624.00265049749908</v>
      </c>
      <c r="FJ110" s="308">
        <f t="shared" si="51"/>
        <v>1.6513817427166417</v>
      </c>
      <c r="FL110" s="101"/>
      <c r="FM110" s="101"/>
      <c r="FN110" s="101"/>
      <c r="FO110" s="101"/>
      <c r="FP110" s="374"/>
      <c r="FQ110" s="404"/>
      <c r="FR110" s="404"/>
    </row>
    <row r="111" spans="1:174">
      <c r="A111" s="205"/>
      <c r="B111" s="205" t="s">
        <v>303</v>
      </c>
      <c r="C111" s="400">
        <f>$AB69*KTDB_TripDistribution_2025!L$12 * (1+KTDB_발생량도착량_증가율!$C$8*2)</f>
        <v>35.476182980382958</v>
      </c>
      <c r="D111" s="400">
        <f>$AB69*KTDB_TripDistribution_2025!M$12 * (1+KTDB_발생량도착량_증가율!$C$8*2)</f>
        <v>275.86752975008886</v>
      </c>
      <c r="E111" s="400">
        <f>$AB69*KTDB_TripDistribution_2025!N$12 * (1+KTDB_발생량도착량_증가율!$C$8*2)</f>
        <v>12.227925665072037</v>
      </c>
      <c r="F111" s="400">
        <f>$AB69*KTDB_TripDistribution_2025!O$12 * (1+KTDB_발생량도착량_증가율!$C$8*2)</f>
        <v>3.3160476379856488E-2</v>
      </c>
      <c r="G111" s="400">
        <f>$AB69*KTDB_TripDistribution_2025!P$12 * (1+KTDB_발생량도착량_증가율!$C$8*2)</f>
        <v>9.3954683076259593E-2</v>
      </c>
      <c r="H111" s="400">
        <f>$AB69*KTDB_TripDistribution_2025!Q$12 * (1+KTDB_발생량도착량_증가율!$C$8*2)</f>
        <v>323.698753555</v>
      </c>
      <c r="I111" s="56"/>
      <c r="J111" s="56"/>
      <c r="K111" s="206"/>
      <c r="L111" s="206" t="s">
        <v>303</v>
      </c>
      <c r="M111" s="206">
        <f>INDEX($A$102:$H$115,MATCH($L111,$B$102:$B$115,0),MATCH($M$101,$A$102:$H$102,0))*고양시_Modal_split!C$3 * 0.01</f>
        <v>9.9333312345072269E-2</v>
      </c>
      <c r="N111" s="206">
        <f>INDEX($A$102:$H$115,MATCH($L111,$B$102:$B$115,0),MATCH($M$101,$A$102:$H$102,0))*고양시_Modal_split!D$3 * 0.01</f>
        <v>16.684448855674106</v>
      </c>
      <c r="O111" s="206">
        <f>INDEX($A$102:$H$115,MATCH($L111,$B$102:$B$115,0),MATCH($M$101,$A$102:$H$102,0))*고양시_Modal_split!E$3 * 0.01</f>
        <v>2.0185948115837902</v>
      </c>
      <c r="P111" s="206">
        <f>INDEX($A$102:$H$115,MATCH($L111,$B$102:$B$115,0),MATCH($M$101,$A$102:$H$102,0))*고양시_Modal_split!F$3 * 0.01</f>
        <v>3.2531659793011176</v>
      </c>
      <c r="Q111" s="206">
        <f>INDEX($A$102:$H$115,MATCH($L111,$B$102:$B$115,0),MATCH($M$101,$A$102:$H$102,0))*고양시_Modal_split!G$3 * 0.01</f>
        <v>0.3263808834195232</v>
      </c>
      <c r="R111" s="206">
        <f>INDEX($A$102:$H$115,MATCH($L111,$B$102:$B$115,0),MATCH($M$101,$A$102:$H$102,0))*고양시_Modal_split!H$3 * 0.01</f>
        <v>3.5476182980382961E-3</v>
      </c>
      <c r="S111" s="206">
        <f>INDEX($A$102:$H$115,MATCH($L111,$B$102:$B$115,0),MATCH($M$101,$A$102:$H$102,0))*고양시_Modal_split!I$3 * 0.01</f>
        <v>0.9862378868546462</v>
      </c>
      <c r="T111" s="206">
        <f>INDEX($A$102:$H$115,MATCH($L111,$B$102:$B$115,0),MATCH($M$101,$A$102:$H$102,0))*고양시_Modal_split!J$3 * 0.01</f>
        <v>10.798950099228573</v>
      </c>
      <c r="U111" s="206">
        <f>INDEX($A$102:$H$115,MATCH($L111,$B$102:$B$115,0),MATCH($M$101,$A$102:$H$102,0))*고양시_Modal_split!K$3 * 0.01</f>
        <v>5.3214274470574432E-2</v>
      </c>
      <c r="V111" s="206">
        <f>INDEX($A$102:$H$115,MATCH($L111,$B$102:$B$115,0),MATCH($M$101,$A$102:$H$102,0))*고양시_Modal_split!L$3 * 0.01</f>
        <v>1.0713807260075654</v>
      </c>
      <c r="W111" s="206">
        <f>INDEX($A$102:$H$115,MATCH($L111,$B$102:$B$115,0),MATCH($M$101,$A$102:$H$102,0))*고양시_Modal_split!M$3 * 0.01</f>
        <v>8.1595220854880801E-2</v>
      </c>
      <c r="X111" s="206">
        <f>INDEX($A$102:$H$115,MATCH($L111,$B$102:$B$115,0),MATCH($M$101,$A$102:$H$102,0))*고양시_Modal_split!N$3 * 0.01</f>
        <v>3.5476182980382964E-2</v>
      </c>
      <c r="Y111" s="206">
        <f>INDEX($A$102:$H$115,MATCH($L111,$B$102:$B$115,0),MATCH($M$101,$A$102:$H$102,0))*고양시_Modal_split!O$3 * 0.01</f>
        <v>6.3857129364689319E-2</v>
      </c>
      <c r="Z111" s="209">
        <f>INDEX($A$102:$H$115,MATCH($L111,$B$102:$B$115,0),MATCH($M$101,$A$102:$H$102,0))*고양시_Modal_split!P$3 * 0.01</f>
        <v>35.476182980382958</v>
      </c>
      <c r="AA111" s="207">
        <f>INDEX($A$102:$H$115,MATCH($L111,$B$102:$B$115,0),MATCH($AA$101,$A$102:$H$102,0))*고양시_Modal_split!C$3 * 0.01</f>
        <v>0.77242908330024873</v>
      </c>
      <c r="AB111" s="207">
        <f>INDEX($A$102:$H$115,MATCH($L111,$B$102:$B$115,0),MATCH($AA$101,$A$102:$H$102,0))*고양시_Modal_split!D$3 * 0.01</f>
        <v>129.74049924146678</v>
      </c>
      <c r="AC111" s="207">
        <f>INDEX($A$102:$H$115,MATCH($L111,$B$102:$B$115,0),MATCH($AA$101,$A$102:$H$102,0))*고양시_Modal_split!E$3 * 0.01</f>
        <v>15.696862442780056</v>
      </c>
      <c r="AD111" s="207">
        <f>INDEX($A$102:$H$115,MATCH($L111,$B$102:$B$115,0),MATCH($AA$101,$A$102:$H$102,0))*고양시_Modal_split!F$3 * 0.01</f>
        <v>25.297052478083145</v>
      </c>
      <c r="AE111" s="207">
        <f>INDEX($A$102:$H$115,MATCH($L111,$B$102:$B$115,0),MATCH($AA$101,$A$102:$H$102,0))*고양시_Modal_split!G$3 * 0.01</f>
        <v>2.5379812737008174</v>
      </c>
      <c r="AF111" s="207">
        <f>INDEX($A$102:$H$115,MATCH($L111,$B$102:$B$115,0),MATCH($AA$101,$A$102:$H$102,0))*고양시_Modal_split!H$3 * 0.01</f>
        <v>2.7586752975008885E-2</v>
      </c>
      <c r="AG111" s="207">
        <f>INDEX($A$102:$H$115,MATCH($L111,$B$102:$B$115,0),MATCH($AA$101,$A$102:$H$102,0))*고양시_Modal_split!I$3 * 0.01</f>
        <v>7.6691173270524704</v>
      </c>
      <c r="AH111" s="207">
        <f>INDEX($A$102:$H$115,MATCH($L111,$B$102:$B$115,0),MATCH($AA$101,$A$102:$H$102,0))*고양시_Modal_split!J$3 * 0.01</f>
        <v>83.974076055927057</v>
      </c>
      <c r="AI111" s="207">
        <f>INDEX($A$102:$H$115,MATCH($L111,$B$102:$B$115,0),MATCH($AA$101,$A$102:$H$102,0))*고양시_Modal_split!K$3 * 0.01</f>
        <v>0.41380129462513332</v>
      </c>
      <c r="AJ111" s="207">
        <f>INDEX($A$102:$H$115,MATCH($L111,$B$102:$B$115,0),MATCH($AA$101,$A$102:$H$102,0))*고양시_Modal_split!L$3 * 0.01</f>
        <v>8.331199398452684</v>
      </c>
      <c r="AK111" s="207">
        <f>INDEX($A$102:$H$115,MATCH($L111,$B$102:$B$115,0),MATCH($AA$101,$A$102:$H$102,0))*고양시_Modal_split!M$3 * 0.01</f>
        <v>0.63449531842520435</v>
      </c>
      <c r="AL111" s="207">
        <f>INDEX($A$102:$H$115,MATCH($L111,$B$102:$B$115,0),MATCH($AA$101,$A$102:$H$102,0))*고양시_Modal_split!N$3 * 0.01</f>
        <v>0.27586752975008888</v>
      </c>
      <c r="AM111" s="207">
        <f>INDEX($A$102:$H$115,MATCH($L111,$B$102:$B$115,0),MATCH($AA$101,$A$102:$H$102,0))*고양시_Modal_split!O$3 * 0.01</f>
        <v>0.49656155355015996</v>
      </c>
      <c r="AN111" s="207">
        <f>INDEX($A$102:$H$115,MATCH($L111,$B$102:$B$115,0),MATCH($AA$101,$A$102:$H$102,0))*고양시_Modal_split!P$3 * 0.01</f>
        <v>275.86752975008886</v>
      </c>
      <c r="AO111" s="303">
        <f>INDEX($A$102:$H$115,MATCH($L111,$B$102:$B$115,0),MATCH($AO$101,$A$102:$H$102,0))*고양시_Modal_split!C$3 * 0.01</f>
        <v>3.42381918622017E-2</v>
      </c>
      <c r="AP111" s="303">
        <f>INDEX($A$102:$H$115,MATCH($L111,$B$102:$B$115,0),MATCH($AO$101,$A$102:$H$102,0))*고양시_Modal_split!D$3 * 0.01</f>
        <v>5.7507934402833794</v>
      </c>
      <c r="AQ111" s="303">
        <f>INDEX($A$102:$H$115,MATCH($L111,$B$102:$B$115,0),MATCH($AO$101,$A$102:$H$102,0))*고양시_Modal_split!E$3 * 0.01</f>
        <v>0.69576897034259888</v>
      </c>
      <c r="AR111" s="303">
        <f>INDEX($A$102:$H$115,MATCH($L111,$B$102:$B$115,0),MATCH($AO$101,$A$102:$H$102,0))*고양시_Modal_split!F$3 * 0.01</f>
        <v>1.1213007834871058</v>
      </c>
      <c r="AS111" s="303">
        <f>INDEX($A$102:$H$115,MATCH($L111,$B$102:$B$115,0),MATCH($AO$101,$A$102:$H$102,0))*고양시_Modal_split!G$3 * 0.01</f>
        <v>0.11249691611866273</v>
      </c>
      <c r="AT111" s="303">
        <f>INDEX($A$102:$H$115,MATCH($L111,$B$102:$B$115,0),MATCH($AO$101,$A$102:$H$102,0))*고양시_Modal_split!H$3 * 0.01</f>
        <v>1.2227925665072039E-3</v>
      </c>
      <c r="AU111" s="303">
        <f>INDEX($A$102:$H$115,MATCH($L111,$B$102:$B$115,0),MATCH($AO$101,$A$102:$H$102,0))*고양시_Modal_split!I$3 * 0.01</f>
        <v>0.3399363334890026</v>
      </c>
      <c r="AV111" s="303">
        <f>INDEX($A$102:$H$115,MATCH($L111,$B$102:$B$115,0),MATCH($AO$101,$A$102:$H$102,0))*고양시_Modal_split!J$3 * 0.01</f>
        <v>3.7221805724479284</v>
      </c>
      <c r="AW111" s="303">
        <f>INDEX($A$102:$H$115,MATCH($L111,$B$102:$B$115,0),MATCH($AO$101,$A$102:$H$102,0))*고양시_Modal_split!K$3 * 0.01</f>
        <v>1.8341888497608056E-2</v>
      </c>
      <c r="AX111" s="303">
        <f>INDEX($A$102:$H$115,MATCH($L111,$B$102:$B$115,0),MATCH($AO$101,$A$102:$H$102,0))*고양시_Modal_split!L$3 * 0.01</f>
        <v>0.36928335508517557</v>
      </c>
      <c r="AY111" s="303">
        <f>INDEX($A$102:$H$115,MATCH($L111,$B$102:$B$115,0),MATCH($AO$101,$A$102:$H$102,0))*고양시_Modal_split!M$3 * 0.01</f>
        <v>2.8124229029665684E-2</v>
      </c>
      <c r="AZ111" s="303">
        <f>INDEX($A$102:$H$115,MATCH($L111,$B$102:$B$115,0),MATCH($AO$101,$A$102:$H$102,0))*고양시_Modal_split!N$3 * 0.01</f>
        <v>1.222792566507204E-2</v>
      </c>
      <c r="BA111" s="207">
        <f>INDEX($A$102:$H$115,MATCH($L111,$B$102:$B$115,0),MATCH($AO$101,$A$102:$H$102,0))*고양시_Modal_split!O$3 * 0.01</f>
        <v>2.2010266197129664E-2</v>
      </c>
      <c r="BB111" s="207">
        <f>INDEX($A$102:$H$115,MATCH($L111,$B$102:$B$115,0),MATCH($AO$101,$A$102:$H$102,0))*고양시_Modal_split!P$3 * 0.01</f>
        <v>12.227925665072037</v>
      </c>
      <c r="BC111" s="207">
        <f>INDEX($A$102:$H$115,MATCH($L111,$B$102:$B$115,0),MATCH($BC$101,$A$102:$H$102,0))*고양시_Modal_split!C$3 * 0.01</f>
        <v>9.2849333863598163E-5</v>
      </c>
      <c r="BD111" s="207">
        <f>INDEX($A$102:$H$115,MATCH($L111,$B$102:$B$115,0),MATCH($BC$101,$A$102:$H$102,0))*고양시_Modal_split!D$3 * 0.01</f>
        <v>1.5595372041446507E-2</v>
      </c>
      <c r="BE111" s="207">
        <f>INDEX($A$102:$H$115,MATCH($L111,$B$102:$B$115,0),MATCH($BC$101,$A$102:$H$102,0))*고양시_Modal_split!E$3 * 0.01</f>
        <v>1.8868311060138341E-3</v>
      </c>
      <c r="BF111" s="207">
        <f>INDEX($A$102:$H$115,MATCH($L111,$B$102:$B$115,0),MATCH($BC$101,$A$102:$H$102,0))*고양시_Modal_split!F$3 * 0.01</f>
        <v>3.04081568403284E-3</v>
      </c>
      <c r="BG111" s="207">
        <f>INDEX($A$102:$H$115,MATCH($L111,$B$102:$B$115,0),MATCH($BC$101,$A$102:$H$102,0))*고양시_Modal_split!G$3 * 0.01</f>
        <v>3.0507638269467965E-4</v>
      </c>
      <c r="BH111" s="207">
        <f>INDEX($A$102:$H$115,MATCH($L111,$B$102:$B$115,0),MATCH($BC$101,$A$102:$H$102,0))*고양시_Modal_split!H$3 * 0.01</f>
        <v>3.3160476379856486E-6</v>
      </c>
      <c r="BI111" s="207">
        <f>INDEX($A$102:$H$115,MATCH($L111,$B$102:$B$115,0),MATCH($BC$101,$A$102:$H$102,0))*고양시_Modal_split!I$3 * 0.01</f>
        <v>9.2186124336001026E-4</v>
      </c>
      <c r="BJ111" s="207">
        <f>INDEX($A$102:$H$115,MATCH($L111,$B$102:$B$115,0),MATCH($BC$101,$A$102:$H$102,0))*고양시_Modal_split!J$3 * 0.01</f>
        <v>1.0094049010028314E-2</v>
      </c>
      <c r="BK111" s="207">
        <f>INDEX($A$102:$H$115,MATCH($L111,$B$102:$B$115,0),MATCH($BC$101,$A$102:$H$102,0))*고양시_Modal_split!K$3 * 0.01</f>
        <v>4.9740714569784733E-5</v>
      </c>
      <c r="BL111" s="207">
        <f>INDEX($A$102:$H$115,MATCH($L111,$B$102:$B$115,0),MATCH($BC$101,$A$102:$H$102,0))*고양시_Modal_split!L$3 * 0.01</f>
        <v>1.0014463866716661E-3</v>
      </c>
      <c r="BM111" s="207">
        <f>INDEX($A$102:$H$115,MATCH($L111,$B$102:$B$115,0),MATCH($BC$101,$A$102:$H$102,0))*고양시_Modal_split!M$3 * 0.01</f>
        <v>7.6269095673669912E-5</v>
      </c>
      <c r="BN111" s="207">
        <f>INDEX($A$102:$H$115,MATCH($L111,$B$102:$B$115,0),MATCH($BC$101,$A$102:$H$102,0))*고양시_Modal_split!N$3 * 0.01</f>
        <v>3.3160476379856489E-5</v>
      </c>
      <c r="BO111" s="207">
        <f>INDEX($A$102:$H$115,MATCH($L111,$B$102:$B$115,0),MATCH($BC$101,$A$102:$H$102,0))*고양시_Modal_split!O$3 * 0.01</f>
        <v>5.9688857483741674E-5</v>
      </c>
      <c r="BP111" s="207">
        <f>INDEX($A$102:$H$115,MATCH($L111,$B$102:$B$115,0),MATCH($BC$101,$A$102:$H$102,0))*고양시_Modal_split!P$3 * 0.01</f>
        <v>3.3160476379856488E-2</v>
      </c>
      <c r="BQ111" s="207">
        <f>INDEX($A$102:$H$115,MATCH($L111,$B$102:$B$115,0),MATCH($BQ$101,$A$102:$H$102,0))*고양시_Modal_split!C$3 * 0.01</f>
        <v>2.6307311261352685E-4</v>
      </c>
      <c r="BR111" s="207">
        <f>INDEX($A$102:$H$115,MATCH($L111,$B$102:$B$115,0),MATCH($BQ$101,$A$102:$H$102,0))*고양시_Modal_split!D$3 * 0.01</f>
        <v>4.4186887450764892E-2</v>
      </c>
      <c r="BS111" s="207">
        <f>INDEX($A$102:$H$115,MATCH($L111,$B$102:$B$115,0),MATCH($BQ$101,$A$102:$H$102,0))*고양시_Modal_split!E$3 * 0.01</f>
        <v>5.3460214670391706E-3</v>
      </c>
      <c r="BT111" s="207">
        <f>INDEX($A$102:$H$115,MATCH($L111,$B$102:$B$115,0),MATCH($BQ$101,$A$102:$H$102,0))*고양시_Modal_split!F$3 * 0.01</f>
        <v>8.615644438093005E-3</v>
      </c>
      <c r="BU111" s="207">
        <f>INDEX($A$102:$H$115,MATCH($L111,$B$102:$B$115,0),MATCH($BQ$101,$A$102:$H$102,0))*고양시_Modal_split!G$3 * 0.01</f>
        <v>8.6438308430158821E-4</v>
      </c>
      <c r="BV111" s="207">
        <f>INDEX($A$102:$H$115,MATCH($L111,$B$102:$B$115,0),MATCH($BQ$101,$A$102:$H$102,0))*고양시_Modal_split!H$3 * 0.01</f>
        <v>9.3954683076259603E-6</v>
      </c>
      <c r="BW111" s="207">
        <f>INDEX($A$102:$H$115,MATCH($L111,$B$102:$B$115,0),MATCH($BQ$101,$A$102:$H$102,0))*고양시_Modal_split!I$3 * 0.01</f>
        <v>2.611940189520017E-3</v>
      </c>
      <c r="BX111" s="207">
        <f>INDEX($A$102:$H$115,MATCH($L111,$B$102:$B$115,0),MATCH($BQ$101,$A$102:$H$102,0))*고양시_Modal_split!J$3 * 0.01</f>
        <v>2.8599805528413423E-2</v>
      </c>
      <c r="BY111" s="207">
        <f>INDEX($A$102:$H$115,MATCH($L111,$B$102:$B$115,0),MATCH($BQ$101,$A$102:$H$102,0))*고양시_Modal_split!K$3 * 0.01</f>
        <v>1.4093202461438938E-4</v>
      </c>
      <c r="BZ111" s="207">
        <f>INDEX($A$102:$H$115,MATCH($L111,$B$102:$B$115,0),MATCH($BQ$101,$A$102:$H$102,0))*고양시_Modal_split!L$3 * 0.01</f>
        <v>2.8374314289030395E-3</v>
      </c>
      <c r="CA111" s="207">
        <f>INDEX($A$102:$H$115,MATCH($L111,$B$102:$B$115,0),MATCH($BQ$101,$A$102:$H$102,0))*고양시_Modal_split!M$3 * 0.01</f>
        <v>2.1609577107539705E-4</v>
      </c>
      <c r="CB111" s="207">
        <f>INDEX($A$102:$H$115,MATCH($L111,$B$102:$B$115,0),MATCH($BQ$101,$A$102:$H$102,0))*고양시_Modal_split!N$3 * 0.01</f>
        <v>9.3954683076259606E-5</v>
      </c>
      <c r="CC111" s="207">
        <f>INDEX($A$102:$H$115,MATCH($L111,$B$102:$B$115,0),MATCH($BQ$101,$A$102:$H$102,0))*고양시_Modal_split!O$3 * 0.01</f>
        <v>1.6911842953726728E-4</v>
      </c>
      <c r="CD111" s="207">
        <f>INDEX($A$102:$H$115,MATCH($L111,$B$102:$B$115,0),MATCH($BQ$101,$A$102:$H$102,0))*고양시_Modal_split!P$3 * 0.01</f>
        <v>9.3954683076259593E-2</v>
      </c>
      <c r="CE111" s="304">
        <f t="shared" si="52"/>
        <v>0.90635650995399974</v>
      </c>
      <c r="CF111" s="304">
        <f t="shared" si="47"/>
        <v>152.23552379691648</v>
      </c>
      <c r="CG111" s="304">
        <f t="shared" si="47"/>
        <v>18.418459077279497</v>
      </c>
      <c r="CH111" s="304">
        <f t="shared" si="47"/>
        <v>29.683175700993495</v>
      </c>
      <c r="CI111" s="304">
        <f t="shared" si="47"/>
        <v>2.9780285327059999</v>
      </c>
      <c r="CJ111" s="304">
        <f t="shared" si="47"/>
        <v>3.2369875355499997E-2</v>
      </c>
      <c r="CK111" s="304">
        <f t="shared" si="47"/>
        <v>8.9988253488289995</v>
      </c>
      <c r="CL111" s="304">
        <f t="shared" si="47"/>
        <v>98.533900582141996</v>
      </c>
      <c r="CM111" s="304">
        <f t="shared" si="47"/>
        <v>0.48554813033249994</v>
      </c>
      <c r="CN111" s="304">
        <f t="shared" si="47"/>
        <v>9.7757023573609985</v>
      </c>
      <c r="CO111" s="304">
        <f t="shared" si="47"/>
        <v>0.74450713317649997</v>
      </c>
      <c r="CP111" s="304">
        <f t="shared" si="47"/>
        <v>0.323698753555</v>
      </c>
      <c r="CQ111" s="304">
        <f t="shared" si="47"/>
        <v>0.58265775639899997</v>
      </c>
      <c r="CR111" s="304">
        <f t="shared" si="47"/>
        <v>323.698753555</v>
      </c>
      <c r="CS111" s="305">
        <f t="shared" si="53"/>
        <v>0</v>
      </c>
      <c r="CV111" s="267"/>
      <c r="CW111" s="267" t="s">
        <v>303</v>
      </c>
      <c r="CX111" s="267">
        <f>INDEX($M$101:$Z$115,MATCH($CW111,$L$101:$L$115,0),MATCH(CX$102,$M$102:$Z$102,0))/INDEX(고양시_재차인원!$D$4:$H$35,MATCH("고양시",고양시_재차인원!$B$4:$B$35,0),MATCH($CX$101,고양시_재차인원!$D$4:$H$4,0))</f>
        <v>14.896829335423307</v>
      </c>
      <c r="CY111" s="267">
        <f>INDEX($M$101:$Z$115,MATCH($CW111,$L$101:$L$115,0),MATCH(CY$102,$M$102:$Z$102,0))/INDEX(고양시_재차인원!$K$4:$O$20,MATCH("경기도",고양시_재차인원!$K$4:$K$20,0),MATCH(CY$102,고양시_재차인원!$K$4:$O$4,0))</f>
        <v>1.2322397700723501E-4</v>
      </c>
      <c r="CZ111" s="267">
        <f>INDEX($M$101:$Z$115,MATCH($CW111,$L$101:$L$115,0),MATCH(CZ$102,$M$102:$Z$102,0))/INDEX(고양시_재차인원!$K$4:$O$20,MATCH("경기도",고양시_재차인원!$K$4:$K$20,0),MATCH(CZ$102,고양시_재차인원!$K$4:$O$4,0))</f>
        <v>3.425626560801133E-2</v>
      </c>
      <c r="DA111" s="267">
        <f>INDEX($M$101:$Z$115,MATCH($CW111,$L$101:$L$115,0),MATCH(DA$102,$M$102:$Z$102,0))/INDEX(고양시_재차인원!$D$4:$H$35,MATCH("고양시",고양시_재차인원!$B$4:$B$35,0),MATCH($CX$101,고양시_재차인원!$D$4:$H$4,0))</f>
        <v>0.95658993393532621</v>
      </c>
      <c r="DB111" s="267">
        <f>INDEX($AA$101:$AN$115,MATCH($CW111,$L$101:$L$115,0),MATCH(DB$102,$AA$102:$AN$102,0))/INDEX(고양시_재차인원!$D$4:$H$35,MATCH("고양시",고양시_재차인원!$B$4:$B$35,0),MATCH($DB$101,고양시_재차인원!$D$4:$H$4,0))</f>
        <v>92.014538469125384</v>
      </c>
      <c r="DC111" s="267">
        <f>INDEX($AA$101:$AN$115,MATCH($CW111,$L$101:$L$115,0),MATCH(DC$102,$AA$102:$AN$102,0))/INDEX(고양시_재차인원!$K$4:$O$20,MATCH("경기도",고양시_재차인원!$K$4:$K$20,0),MATCH(DC$102,고양시_재차인원!$K$4:$O$4,0))</f>
        <v>9.5820607763143055E-4</v>
      </c>
      <c r="DD111" s="267">
        <f>INDEX($AA$101:$AN$115,MATCH($CW111,$L$101:$L$115,0),MATCH(DD$102,$AA$102:$AN$102,0))/INDEX(고양시_재차인원!$K$4:$O$20,MATCH("경기도",고양시_재차인원!$K$4:$K$20,0),MATCH(DD$102,고양시_재차인원!$K$4:$O$4,0))</f>
        <v>0.26638128958153773</v>
      </c>
      <c r="DE111" s="267">
        <f>INDEX($AA$101:$AN$115,MATCH($CW111,$L$101:$L$115,0),MATCH(DE$102,$AA$102:$AN$102,0))/INDEX(고양시_재차인원!$D$4:$H$35,MATCH("고양시",고양시_재차인원!$B$4:$B$35,0),MATCH($DB$101,고양시_재차인원!$D$4:$H$4,0))</f>
        <v>5.9086520556402018</v>
      </c>
      <c r="DF111" s="267">
        <f>INDEX($AO$101:$BB$115,MATCH($CW111,$L$101:$L$115,0),MATCH(DF$102,$AO$102:$BB$102,0))/INDEX(고양시_재차인원!$D$4:$H$35,MATCH("고양시",고양시_재차인원!$B$4:$B$35,0),MATCH($DF$101,고양시_재차인원!$D$4:$H$4,0))</f>
        <v>4.4236872617564451</v>
      </c>
      <c r="DG111" s="267">
        <f>INDEX($AO$101:$BB$115,MATCH($CW111,$L$101:$L$115,0),MATCH(DG$102,$AO$102:$BB$102,0))/INDEX(고양시_재차인원!$K$4:$O$20,MATCH("경기도",고양시_재차인원!$K$4:$K$20,0),MATCH(DG$102,고양시_재차인원!$K$4:$O$4,0))</f>
        <v>4.2472822733838274E-5</v>
      </c>
      <c r="DH111" s="267">
        <f>INDEX($AO$101:$BB$115,MATCH($CW111,$L$101:$L$115,0),MATCH(DH$102,$AO$102:$BB$102,0))/INDEX(고양시_재차인원!$K$4:$O$20,MATCH("경기도",고양시_재차인원!$K$4:$K$20,0),MATCH(DH$102,고양시_재차인원!$K$4:$O$4,0))</f>
        <v>1.1807444720007037E-2</v>
      </c>
      <c r="DI111" s="267">
        <f>INDEX($AO$101:$BB$115,MATCH($CW111,$L$101:$L$115,0),MATCH(DI$102,$AO$102:$BB$102,0))/INDEX(고양시_재차인원!$D$4:$H$35,MATCH("고양시",고양시_재차인원!$B$4:$B$35,0),MATCH($DF$101,고양시_재차인원!$D$4:$H$4,0))</f>
        <v>0.28406411929628889</v>
      </c>
      <c r="DJ111" s="267">
        <f>INDEX($BC$101:$BP$115,MATCH($CW111,$L$101:$L$115,0),MATCH(DJ$102,$BC$102:$BP$102,0))/INDEX(고양시_재차인원!$D$4:$H$35,MATCH("고양시",고양시_재차인원!$B$4:$B$35,0),MATCH($DJ$101,고양시_재차인원!$D$4:$H$4,0))</f>
        <v>1.1467185324593019E-2</v>
      </c>
      <c r="DK111" s="267">
        <f>INDEX($BC$101:$BP$115,MATCH($CW111,$L$101:$L$115,0),MATCH(DK$102,$BC$102:$BP$102,0))/INDEX(고양시_재차인원!$K$4:$O$20,MATCH("경기도",고양시_재차인원!$K$4:$K$20,0),MATCH(DK$102,고양시_재차인원!$K$4:$O$4,0))</f>
        <v>1.1518053622735842E-7</v>
      </c>
      <c r="DL111" s="267">
        <f>INDEX($BC$101:$BP$115,MATCH($CW111,$L$101:$L$115,0),MATCH(DL$102,$BC$102:$BP$102,0))/INDEX(고양시_재차인원!$K$4:$O$20,MATCH("경기도",고양시_재차인원!$K$4:$K$20,0),MATCH(DL$102,고양시_재차인원!$K$4:$O$4,0))</f>
        <v>3.2020189071205634E-5</v>
      </c>
      <c r="DM111" s="267">
        <f>INDEX($BC$101:$BP$115,MATCH($CW111,$L$101:$L$115,0),MATCH(DM$102,$BC$102:$BP$102,0))/INDEX(고양시_재차인원!$D$4:$H$35,MATCH("고양시",고양시_재차인원!$B$4:$B$35,0),MATCH($DJ$101,고양시_재차인원!$D$4:$H$4,0))</f>
        <v>7.3635763725857792E-4</v>
      </c>
      <c r="DN111" s="267">
        <f>INDEX($BQ$101:$CD$115,MATCH($CW111,$L$101:$L$115,0),MATCH(DN$102,$BQ$102:$CD$102,0))/INDEX(고양시_재차인원!$D$4:$H$35,MATCH("고양시",고양시_재차인원!$B$4:$B$35,0),MATCH($DN$101,고양시_재차인원!$D$4:$H$4,0))</f>
        <v>3.5068958294257851E-2</v>
      </c>
      <c r="DO111" s="267">
        <f>INDEX($BQ$101:$CD$115,MATCH($CW111,$L$101:$L$115,0),MATCH(DO$102,$BQ$102:$CD$102,0))/INDEX(고양시_재차인원!$K$4:$O$20,MATCH("경기도",고양시_재차인원!$K$4:$K$20,0),MATCH(DO$102,고양시_재차인원!$K$4:$O$4,0))</f>
        <v>3.2634485264418065E-7</v>
      </c>
      <c r="DP111" s="267">
        <f>INDEX($BQ$101:$CD$115,MATCH($CW111,$L$101:$L$115,0),MATCH(DP$102,$BQ$102:$CD$102,0))/INDEX(고양시_재차인원!$K$4:$O$20,MATCH("경기도",고양시_재차인원!$K$4:$K$20,0),MATCH(DP$102,고양시_재차인원!$K$4:$O$4,0))</f>
        <v>9.0723869035082223E-5</v>
      </c>
      <c r="DQ111" s="267">
        <f>INDEX($BQ$101:$CD$115,MATCH($CW111,$L$101:$L$115,0),MATCH(DQ$102,$BQ$102:$CD$102,0))/INDEX(고양시_재차인원!$D$4:$H$35,MATCH("고양시",고양시_재차인원!$B$4:$B$35,0),MATCH($DN$101,고양시_재차인원!$D$4:$H$4,0))</f>
        <v>2.2519297054786028E-3</v>
      </c>
      <c r="DR111" s="270">
        <f t="shared" si="54"/>
        <v>111.38159120992398</v>
      </c>
      <c r="DS111" s="270">
        <f t="shared" si="48"/>
        <v>1.1243444027613755E-3</v>
      </c>
      <c r="DT111" s="270">
        <f t="shared" si="48"/>
        <v>0.3125677439676624</v>
      </c>
      <c r="DU111" s="270">
        <f t="shared" si="48"/>
        <v>7.152294396214554</v>
      </c>
      <c r="DW111" s="278"/>
      <c r="DX111" s="278" t="s">
        <v>303</v>
      </c>
      <c r="DY111" s="281">
        <f t="shared" si="55"/>
        <v>118.53388560613854</v>
      </c>
      <c r="DZ111" s="281">
        <f t="shared" si="56"/>
        <v>0.31369208837042378</v>
      </c>
      <c r="EB111" s="278"/>
      <c r="EC111" s="278" t="s">
        <v>303</v>
      </c>
      <c r="ED111" s="281">
        <f t="shared" si="57"/>
        <v>118.53388560613854</v>
      </c>
      <c r="EE111" s="281">
        <f t="shared" si="49"/>
        <v>0.31369208837042378</v>
      </c>
      <c r="EL111" s="306" t="s">
        <v>668</v>
      </c>
      <c r="EM111" s="306" t="s">
        <v>76</v>
      </c>
      <c r="EN111" s="306">
        <v>25868.347099999999</v>
      </c>
      <c r="EO111" s="306">
        <v>0.13929345213562067</v>
      </c>
      <c r="EP111" s="307">
        <v>849109</v>
      </c>
      <c r="EQ111" s="308">
        <f t="shared" si="58"/>
        <v>631.47072244148569</v>
      </c>
      <c r="ER111" s="308">
        <f t="shared" si="59"/>
        <v>1.671145501174657</v>
      </c>
      <c r="ET111" s="420" t="s">
        <v>668</v>
      </c>
      <c r="EU111" s="420" t="s">
        <v>76</v>
      </c>
      <c r="EV111" s="420">
        <v>25868.347099999999</v>
      </c>
      <c r="EW111" s="420">
        <v>0.13929345213562067</v>
      </c>
      <c r="EX111" s="421">
        <v>849109</v>
      </c>
      <c r="EY111" s="422">
        <f t="shared" si="60"/>
        <v>613.47380685190342</v>
      </c>
      <c r="EZ111" s="422">
        <f t="shared" si="50"/>
        <v>1.6235178543911792</v>
      </c>
      <c r="FA111">
        <v>0</v>
      </c>
      <c r="FD111" s="306" t="s">
        <v>668</v>
      </c>
      <c r="FE111" s="306" t="s">
        <v>76</v>
      </c>
      <c r="FF111" s="306">
        <v>25868.347099999999</v>
      </c>
      <c r="FG111" s="306">
        <v>0.13929345213562067</v>
      </c>
      <c r="FH111" s="307">
        <v>849109</v>
      </c>
      <c r="FI111" s="308">
        <f t="shared" si="61"/>
        <v>613.47380685190342</v>
      </c>
      <c r="FJ111" s="308">
        <f t="shared" si="51"/>
        <v>1.6235178543911792</v>
      </c>
      <c r="FL111" s="101"/>
      <c r="FM111" s="101"/>
      <c r="FN111" s="101"/>
      <c r="FO111" s="101"/>
      <c r="FP111" s="374"/>
      <c r="FQ111" s="404"/>
      <c r="FR111" s="404"/>
    </row>
    <row r="112" spans="1:174">
      <c r="A112" s="205"/>
      <c r="B112" s="205" t="s">
        <v>304</v>
      </c>
      <c r="C112" s="400">
        <f>$AB70*KTDB_TripDistribution_2025!L$12 * (1+KTDB_발생량도착량_증가율!$C$8*2)</f>
        <v>3.2729262716663023</v>
      </c>
      <c r="D112" s="400">
        <f>$AB70*KTDB_TripDistribution_2025!M$12 * (1+KTDB_발생량도착량_증가율!$C$8*2)</f>
        <v>25.450711146630933</v>
      </c>
      <c r="E112" s="400">
        <f>$AB70*KTDB_TripDistribution_2025!N$12 * (1+KTDB_발생량도착량_증가율!$C$8*2)</f>
        <v>1.1281117582274036</v>
      </c>
      <c r="F112" s="400">
        <f>$AB70*KTDB_TripDistribution_2025!O$12 * (1+KTDB_발생량도착량_증가율!$C$8*2)</f>
        <v>3.0592861240065299E-3</v>
      </c>
      <c r="G112" s="400">
        <f>$AB70*KTDB_TripDistribution_2025!P$12 * (1+KTDB_발생량도착량_증가율!$C$8*2)</f>
        <v>8.66797735135179E-3</v>
      </c>
      <c r="H112" s="400">
        <f>$AB70*KTDB_TripDistribution_2025!Q$12 * (1+KTDB_발생량도착량_증가율!$C$8*2)</f>
        <v>29.863476439999999</v>
      </c>
      <c r="I112" s="56"/>
      <c r="J112" s="56"/>
      <c r="K112" s="206"/>
      <c r="L112" s="206" t="s">
        <v>304</v>
      </c>
      <c r="M112" s="206">
        <f>INDEX($A$102:$H$115,MATCH($L112,$B$102:$B$115,0),MATCH($M$101,$A$102:$H$102,0))*고양시_Modal_split!C$3 * 0.01</f>
        <v>9.1641935606656452E-3</v>
      </c>
      <c r="N112" s="206">
        <f>INDEX($A$102:$H$115,MATCH($L112,$B$102:$B$115,0),MATCH($M$101,$A$102:$H$102,0))*고양시_Modal_split!D$3 * 0.01</f>
        <v>1.5392572255646622</v>
      </c>
      <c r="O112" s="206">
        <f>INDEX($A$102:$H$115,MATCH($L112,$B$102:$B$115,0),MATCH($M$101,$A$102:$H$102,0))*고양시_Modal_split!E$3 * 0.01</f>
        <v>0.18622950485781262</v>
      </c>
      <c r="P112" s="206">
        <f>INDEX($A$102:$H$115,MATCH($L112,$B$102:$B$115,0),MATCH($M$101,$A$102:$H$102,0))*고양시_Modal_split!F$3 * 0.01</f>
        <v>0.30012733911179995</v>
      </c>
      <c r="Q112" s="206">
        <f>INDEX($A$102:$H$115,MATCH($L112,$B$102:$B$115,0),MATCH($M$101,$A$102:$H$102,0))*고양시_Modal_split!G$3 * 0.01</f>
        <v>3.0110921699329982E-2</v>
      </c>
      <c r="R112" s="206">
        <f>INDEX($A$102:$H$115,MATCH($L112,$B$102:$B$115,0),MATCH($M$101,$A$102:$H$102,0))*고양시_Modal_split!H$3 * 0.01</f>
        <v>3.2729262716663023E-4</v>
      </c>
      <c r="S112" s="206">
        <f>INDEX($A$102:$H$115,MATCH($L112,$B$102:$B$115,0),MATCH($M$101,$A$102:$H$102,0))*고양시_Modal_split!I$3 * 0.01</f>
        <v>9.0987350352323193E-2</v>
      </c>
      <c r="T112" s="206">
        <f>INDEX($A$102:$H$115,MATCH($L112,$B$102:$B$115,0),MATCH($M$101,$A$102:$H$102,0))*고양시_Modal_split!J$3 * 0.01</f>
        <v>0.9962787570952224</v>
      </c>
      <c r="U112" s="206">
        <f>INDEX($A$102:$H$115,MATCH($L112,$B$102:$B$115,0),MATCH($M$101,$A$102:$H$102,0))*고양시_Modal_split!K$3 * 0.01</f>
        <v>4.9093894074994536E-3</v>
      </c>
      <c r="V112" s="206">
        <f>INDEX($A$102:$H$115,MATCH($L112,$B$102:$B$115,0),MATCH($M$101,$A$102:$H$102,0))*고양시_Modal_split!L$3 * 0.01</f>
        <v>9.8842373404322323E-2</v>
      </c>
      <c r="W112" s="206">
        <f>INDEX($A$102:$H$115,MATCH($L112,$B$102:$B$115,0),MATCH($M$101,$A$102:$H$102,0))*고양시_Modal_split!M$3 * 0.01</f>
        <v>7.5277304248324954E-3</v>
      </c>
      <c r="X112" s="206">
        <f>INDEX($A$102:$H$115,MATCH($L112,$B$102:$B$115,0),MATCH($M$101,$A$102:$H$102,0))*고양시_Modal_split!N$3 * 0.01</f>
        <v>3.272926271666303E-3</v>
      </c>
      <c r="Y112" s="206">
        <f>INDEX($A$102:$H$115,MATCH($L112,$B$102:$B$115,0),MATCH($M$101,$A$102:$H$102,0))*고양시_Modal_split!O$3 * 0.01</f>
        <v>5.8912672889993448E-3</v>
      </c>
      <c r="Z112" s="209">
        <f>INDEX($A$102:$H$115,MATCH($L112,$B$102:$B$115,0),MATCH($M$101,$A$102:$H$102,0))*고양시_Modal_split!P$3 * 0.01</f>
        <v>3.2729262716663023</v>
      </c>
      <c r="AA112" s="207">
        <f>INDEX($A$102:$H$115,MATCH($L112,$B$102:$B$115,0),MATCH($AA$101,$A$102:$H$102,0))*고양시_Modal_split!C$3 * 0.01</f>
        <v>7.1261991210566603E-2</v>
      </c>
      <c r="AB112" s="207">
        <f>INDEX($A$102:$H$115,MATCH($L112,$B$102:$B$115,0),MATCH($AA$101,$A$102:$H$102,0))*고양시_Modal_split!D$3 * 0.01</f>
        <v>11.969469452260528</v>
      </c>
      <c r="AC112" s="207">
        <f>INDEX($A$102:$H$115,MATCH($L112,$B$102:$B$115,0),MATCH($AA$101,$A$102:$H$102,0))*고양시_Modal_split!E$3 * 0.01</f>
        <v>1.4481454642432998</v>
      </c>
      <c r="AD112" s="207">
        <f>INDEX($A$102:$H$115,MATCH($L112,$B$102:$B$115,0),MATCH($AA$101,$A$102:$H$102,0))*고양시_Modal_split!F$3 * 0.01</f>
        <v>2.3338302121460566</v>
      </c>
      <c r="AE112" s="207">
        <f>INDEX($A$102:$H$115,MATCH($L112,$B$102:$B$115,0),MATCH($AA$101,$A$102:$H$102,0))*고양시_Modal_split!G$3 * 0.01</f>
        <v>0.23414654254900455</v>
      </c>
      <c r="AF112" s="207">
        <f>INDEX($A$102:$H$115,MATCH($L112,$B$102:$B$115,0),MATCH($AA$101,$A$102:$H$102,0))*고양시_Modal_split!H$3 * 0.01</f>
        <v>2.5450711146630936E-3</v>
      </c>
      <c r="AG112" s="207">
        <f>INDEX($A$102:$H$115,MATCH($L112,$B$102:$B$115,0),MATCH($AA$101,$A$102:$H$102,0))*고양시_Modal_split!I$3 * 0.01</f>
        <v>0.70752976987633986</v>
      </c>
      <c r="AH112" s="207">
        <f>INDEX($A$102:$H$115,MATCH($L112,$B$102:$B$115,0),MATCH($AA$101,$A$102:$H$102,0))*고양시_Modal_split!J$3 * 0.01</f>
        <v>7.7471964730344567</v>
      </c>
      <c r="AI112" s="207">
        <f>INDEX($A$102:$H$115,MATCH($L112,$B$102:$B$115,0),MATCH($AA$101,$A$102:$H$102,0))*고양시_Modal_split!K$3 * 0.01</f>
        <v>3.8176066719946403E-2</v>
      </c>
      <c r="AJ112" s="207">
        <f>INDEX($A$102:$H$115,MATCH($L112,$B$102:$B$115,0),MATCH($AA$101,$A$102:$H$102,0))*고양시_Modal_split!L$3 * 0.01</f>
        <v>0.76861147662825413</v>
      </c>
      <c r="AK112" s="207">
        <f>INDEX($A$102:$H$115,MATCH($L112,$B$102:$B$115,0),MATCH($AA$101,$A$102:$H$102,0))*고양시_Modal_split!M$3 * 0.01</f>
        <v>5.8536635637251137E-2</v>
      </c>
      <c r="AL112" s="207">
        <f>INDEX($A$102:$H$115,MATCH($L112,$B$102:$B$115,0),MATCH($AA$101,$A$102:$H$102,0))*고양시_Modal_split!N$3 * 0.01</f>
        <v>2.5450711146630934E-2</v>
      </c>
      <c r="AM112" s="207">
        <f>INDEX($A$102:$H$115,MATCH($L112,$B$102:$B$115,0),MATCH($AA$101,$A$102:$H$102,0))*고양시_Modal_split!O$3 * 0.01</f>
        <v>4.5811280063935679E-2</v>
      </c>
      <c r="AN112" s="207">
        <f>INDEX($A$102:$H$115,MATCH($L112,$B$102:$B$115,0),MATCH($AA$101,$A$102:$H$102,0))*고양시_Modal_split!P$3 * 0.01</f>
        <v>25.450711146630933</v>
      </c>
      <c r="AO112" s="303">
        <f>INDEX($A$102:$H$115,MATCH($L112,$B$102:$B$115,0),MATCH($AO$101,$A$102:$H$102,0))*고양시_Modal_split!C$3 * 0.01</f>
        <v>3.1587129230367301E-3</v>
      </c>
      <c r="AP112" s="303">
        <f>INDEX($A$102:$H$115,MATCH($L112,$B$102:$B$115,0),MATCH($AO$101,$A$102:$H$102,0))*고양시_Modal_split!D$3 * 0.01</f>
        <v>0.53055095989434797</v>
      </c>
      <c r="AQ112" s="303">
        <f>INDEX($A$102:$H$115,MATCH($L112,$B$102:$B$115,0),MATCH($AO$101,$A$102:$H$102,0))*고양시_Modal_split!E$3 * 0.01</f>
        <v>6.4189559043139263E-2</v>
      </c>
      <c r="AR112" s="303">
        <f>INDEX($A$102:$H$115,MATCH($L112,$B$102:$B$115,0),MATCH($AO$101,$A$102:$H$102,0))*고양시_Modal_split!F$3 * 0.01</f>
        <v>0.10344784822945291</v>
      </c>
      <c r="AS112" s="303">
        <f>INDEX($A$102:$H$115,MATCH($L112,$B$102:$B$115,0),MATCH($AO$101,$A$102:$H$102,0))*고양시_Modal_split!G$3 * 0.01</f>
        <v>1.0378628175692113E-2</v>
      </c>
      <c r="AT112" s="303">
        <f>INDEX($A$102:$H$115,MATCH($L112,$B$102:$B$115,0),MATCH($AO$101,$A$102:$H$102,0))*고양시_Modal_split!H$3 * 0.01</f>
        <v>1.1281117582274036E-4</v>
      </c>
      <c r="AU112" s="303">
        <f>INDEX($A$102:$H$115,MATCH($L112,$B$102:$B$115,0),MATCH($AO$101,$A$102:$H$102,0))*고양시_Modal_split!I$3 * 0.01</f>
        <v>3.1361506878721815E-2</v>
      </c>
      <c r="AV112" s="303">
        <f>INDEX($A$102:$H$115,MATCH($L112,$B$102:$B$115,0),MATCH($AO$101,$A$102:$H$102,0))*고양시_Modal_split!J$3 * 0.01</f>
        <v>0.34339721920442168</v>
      </c>
      <c r="AW112" s="303">
        <f>INDEX($A$102:$H$115,MATCH($L112,$B$102:$B$115,0),MATCH($AO$101,$A$102:$H$102,0))*고양시_Modal_split!K$3 * 0.01</f>
        <v>1.6921676373411055E-3</v>
      </c>
      <c r="AX112" s="303">
        <f>INDEX($A$102:$H$115,MATCH($L112,$B$102:$B$115,0),MATCH($AO$101,$A$102:$H$102,0))*고양시_Modal_split!L$3 * 0.01</f>
        <v>3.406897509846759E-2</v>
      </c>
      <c r="AY112" s="303">
        <f>INDEX($A$102:$H$115,MATCH($L112,$B$102:$B$115,0),MATCH($AO$101,$A$102:$H$102,0))*고양시_Modal_split!M$3 * 0.01</f>
        <v>2.5946570439230282E-3</v>
      </c>
      <c r="AZ112" s="303">
        <f>INDEX($A$102:$H$115,MATCH($L112,$B$102:$B$115,0),MATCH($AO$101,$A$102:$H$102,0))*고양시_Modal_split!N$3 * 0.01</f>
        <v>1.1281117582274036E-3</v>
      </c>
      <c r="BA112" s="207">
        <f>INDEX($A$102:$H$115,MATCH($L112,$B$102:$B$115,0),MATCH($AO$101,$A$102:$H$102,0))*고양시_Modal_split!O$3 * 0.01</f>
        <v>2.0306011648093263E-3</v>
      </c>
      <c r="BB112" s="207">
        <f>INDEX($A$102:$H$115,MATCH($L112,$B$102:$B$115,0),MATCH($AO$101,$A$102:$H$102,0))*고양시_Modal_split!P$3 * 0.01</f>
        <v>1.1281117582274036</v>
      </c>
      <c r="BC112" s="207">
        <f>INDEX($A$102:$H$115,MATCH($L112,$B$102:$B$115,0),MATCH($BC$101,$A$102:$H$102,0))*고양시_Modal_split!C$3 * 0.01</f>
        <v>8.5660011472182836E-6</v>
      </c>
      <c r="BD112" s="207">
        <f>INDEX($A$102:$H$115,MATCH($L112,$B$102:$B$115,0),MATCH($BC$101,$A$102:$H$102,0))*고양시_Modal_split!D$3 * 0.01</f>
        <v>1.438782264120271E-3</v>
      </c>
      <c r="BE112" s="207">
        <f>INDEX($A$102:$H$115,MATCH($L112,$B$102:$B$115,0),MATCH($BC$101,$A$102:$H$102,0))*고양시_Modal_split!E$3 * 0.01</f>
        <v>1.7407338045597154E-4</v>
      </c>
      <c r="BF112" s="207">
        <f>INDEX($A$102:$H$115,MATCH($L112,$B$102:$B$115,0),MATCH($BC$101,$A$102:$H$102,0))*고양시_Modal_split!F$3 * 0.01</f>
        <v>2.8053653757139881E-4</v>
      </c>
      <c r="BG112" s="207">
        <f>INDEX($A$102:$H$115,MATCH($L112,$B$102:$B$115,0),MATCH($BC$101,$A$102:$H$102,0))*고양시_Modal_split!G$3 * 0.01</f>
        <v>2.8145432340860072E-5</v>
      </c>
      <c r="BH112" s="207">
        <f>INDEX($A$102:$H$115,MATCH($L112,$B$102:$B$115,0),MATCH($BC$101,$A$102:$H$102,0))*고양시_Modal_split!H$3 * 0.01</f>
        <v>3.0592861240065302E-7</v>
      </c>
      <c r="BI112" s="207">
        <f>INDEX($A$102:$H$115,MATCH($L112,$B$102:$B$115,0),MATCH($BC$101,$A$102:$H$102,0))*고양시_Modal_split!I$3 * 0.01</f>
        <v>8.504815424738154E-5</v>
      </c>
      <c r="BJ112" s="207">
        <f>INDEX($A$102:$H$115,MATCH($L112,$B$102:$B$115,0),MATCH($BC$101,$A$102:$H$102,0))*고양시_Modal_split!J$3 * 0.01</f>
        <v>9.3124669614758776E-4</v>
      </c>
      <c r="BK112" s="207">
        <f>INDEX($A$102:$H$115,MATCH($L112,$B$102:$B$115,0),MATCH($BC$101,$A$102:$H$102,0))*고양시_Modal_split!K$3 * 0.01</f>
        <v>4.5889291860097951E-6</v>
      </c>
      <c r="BL112" s="207">
        <f>INDEX($A$102:$H$115,MATCH($L112,$B$102:$B$115,0),MATCH($BC$101,$A$102:$H$102,0))*고양시_Modal_split!L$3 * 0.01</f>
        <v>9.2390440944997205E-5</v>
      </c>
      <c r="BM112" s="207">
        <f>INDEX($A$102:$H$115,MATCH($L112,$B$102:$B$115,0),MATCH($BC$101,$A$102:$H$102,0))*고양시_Modal_split!M$3 * 0.01</f>
        <v>7.036358085215018E-6</v>
      </c>
      <c r="BN112" s="207">
        <f>INDEX($A$102:$H$115,MATCH($L112,$B$102:$B$115,0),MATCH($BC$101,$A$102:$H$102,0))*고양시_Modal_split!N$3 * 0.01</f>
        <v>3.0592861240065299E-6</v>
      </c>
      <c r="BO112" s="207">
        <f>INDEX($A$102:$H$115,MATCH($L112,$B$102:$B$115,0),MATCH($BC$101,$A$102:$H$102,0))*고양시_Modal_split!O$3 * 0.01</f>
        <v>5.5067150232117541E-6</v>
      </c>
      <c r="BP112" s="207">
        <f>INDEX($A$102:$H$115,MATCH($L112,$B$102:$B$115,0),MATCH($BC$101,$A$102:$H$102,0))*고양시_Modal_split!P$3 * 0.01</f>
        <v>3.0592861240065299E-3</v>
      </c>
      <c r="BQ112" s="207">
        <f>INDEX($A$102:$H$115,MATCH($L112,$B$102:$B$115,0),MATCH($BQ$101,$A$102:$H$102,0))*고양시_Modal_split!C$3 * 0.01</f>
        <v>2.427033658378501E-5</v>
      </c>
      <c r="BR112" s="207">
        <f>INDEX($A$102:$H$115,MATCH($L112,$B$102:$B$115,0),MATCH($BQ$101,$A$102:$H$102,0))*고양시_Modal_split!D$3 * 0.01</f>
        <v>4.0765497483407475E-3</v>
      </c>
      <c r="BS112" s="207">
        <f>INDEX($A$102:$H$115,MATCH($L112,$B$102:$B$115,0),MATCH($BQ$101,$A$102:$H$102,0))*고양시_Modal_split!E$3 * 0.01</f>
        <v>4.9320791129191677E-4</v>
      </c>
      <c r="BT112" s="207">
        <f>INDEX($A$102:$H$115,MATCH($L112,$B$102:$B$115,0),MATCH($BQ$101,$A$102:$H$102,0))*고양시_Modal_split!F$3 * 0.01</f>
        <v>7.9485352311895905E-4</v>
      </c>
      <c r="BU112" s="207">
        <f>INDEX($A$102:$H$115,MATCH($L112,$B$102:$B$115,0),MATCH($BQ$101,$A$102:$H$102,0))*고양시_Modal_split!G$3 * 0.01</f>
        <v>7.9745391632436472E-5</v>
      </c>
      <c r="BV112" s="207">
        <f>INDEX($A$102:$H$115,MATCH($L112,$B$102:$B$115,0),MATCH($BQ$101,$A$102:$H$102,0))*고양시_Modal_split!H$3 * 0.01</f>
        <v>8.6679773513517899E-7</v>
      </c>
      <c r="BW112" s="207">
        <f>INDEX($A$102:$H$115,MATCH($L112,$B$102:$B$115,0),MATCH($BQ$101,$A$102:$H$102,0))*고양시_Modal_split!I$3 * 0.01</f>
        <v>2.4096977036757974E-4</v>
      </c>
      <c r="BX112" s="207">
        <f>INDEX($A$102:$H$115,MATCH($L112,$B$102:$B$115,0),MATCH($BQ$101,$A$102:$H$102,0))*고양시_Modal_split!J$3 * 0.01</f>
        <v>2.6385323057514848E-3</v>
      </c>
      <c r="BY112" s="207">
        <f>INDEX($A$102:$H$115,MATCH($L112,$B$102:$B$115,0),MATCH($BQ$101,$A$102:$H$102,0))*고양시_Modal_split!K$3 * 0.01</f>
        <v>1.3001966027027685E-5</v>
      </c>
      <c r="BZ112" s="207">
        <f>INDEX($A$102:$H$115,MATCH($L112,$B$102:$B$115,0),MATCH($BQ$101,$A$102:$H$102,0))*고양시_Modal_split!L$3 * 0.01</f>
        <v>2.6177291601082406E-4</v>
      </c>
      <c r="CA112" s="207">
        <f>INDEX($A$102:$H$115,MATCH($L112,$B$102:$B$115,0),MATCH($BQ$101,$A$102:$H$102,0))*고양시_Modal_split!M$3 * 0.01</f>
        <v>1.9936347908109118E-5</v>
      </c>
      <c r="CB112" s="207">
        <f>INDEX($A$102:$H$115,MATCH($L112,$B$102:$B$115,0),MATCH($BQ$101,$A$102:$H$102,0))*고양시_Modal_split!N$3 * 0.01</f>
        <v>8.6679773513517901E-6</v>
      </c>
      <c r="CC112" s="207">
        <f>INDEX($A$102:$H$115,MATCH($L112,$B$102:$B$115,0),MATCH($BQ$101,$A$102:$H$102,0))*고양시_Modal_split!O$3 * 0.01</f>
        <v>1.5602359232433223E-5</v>
      </c>
      <c r="CD112" s="207">
        <f>INDEX($A$102:$H$115,MATCH($L112,$B$102:$B$115,0),MATCH($BQ$101,$A$102:$H$102,0))*고양시_Modal_split!P$3 * 0.01</f>
        <v>8.66797735135179E-3</v>
      </c>
      <c r="CE112" s="304">
        <f t="shared" si="52"/>
        <v>8.3617734031999971E-2</v>
      </c>
      <c r="CF112" s="304">
        <f t="shared" si="47"/>
        <v>14.044792969732001</v>
      </c>
      <c r="CG112" s="304">
        <f t="shared" si="47"/>
        <v>1.6992318094359995</v>
      </c>
      <c r="CH112" s="304">
        <f t="shared" si="47"/>
        <v>2.7384807895479994</v>
      </c>
      <c r="CI112" s="304">
        <f t="shared" si="47"/>
        <v>0.27474398324799992</v>
      </c>
      <c r="CJ112" s="304">
        <f t="shared" si="47"/>
        <v>2.9863476439999999E-3</v>
      </c>
      <c r="CK112" s="304">
        <f t="shared" si="47"/>
        <v>0.83020464503199987</v>
      </c>
      <c r="CL112" s="304">
        <f t="shared" si="47"/>
        <v>9.0904422283359985</v>
      </c>
      <c r="CM112" s="304">
        <f t="shared" si="47"/>
        <v>4.4795214659999999E-2</v>
      </c>
      <c r="CN112" s="304">
        <f t="shared" si="47"/>
        <v>0.90187698848799991</v>
      </c>
      <c r="CO112" s="304">
        <f t="shared" si="47"/>
        <v>6.8685995811999981E-2</v>
      </c>
      <c r="CP112" s="304">
        <f t="shared" si="47"/>
        <v>2.9863476439999998E-2</v>
      </c>
      <c r="CQ112" s="304">
        <f t="shared" si="47"/>
        <v>5.375425759199999E-2</v>
      </c>
      <c r="CR112" s="304">
        <f t="shared" si="47"/>
        <v>29.863476439999999</v>
      </c>
      <c r="CS112" s="305">
        <f t="shared" si="53"/>
        <v>0</v>
      </c>
      <c r="CV112" s="267"/>
      <c r="CW112" s="267" t="s">
        <v>304</v>
      </c>
      <c r="CX112" s="267">
        <f>INDEX($M$101:$Z$115,MATCH($CW112,$L$101:$L$115,0),MATCH(CX$102,$M$102:$Z$102,0))/INDEX(고양시_재차인원!$D$4:$H$35,MATCH("고양시",고양시_재차인원!$B$4:$B$35,0),MATCH($CX$101,고양시_재차인원!$D$4:$H$4,0))</f>
        <v>1.3743368085398768</v>
      </c>
      <c r="CY112" s="267">
        <f>INDEX($M$101:$Z$115,MATCH($CW112,$L$101:$L$115,0),MATCH(CY$102,$M$102:$Z$102,0))/INDEX(고양시_재차인원!$K$4:$O$20,MATCH("경기도",고양시_재차인원!$K$4:$K$20,0),MATCH(CY$102,고양시_재차인원!$K$4:$O$4,0))</f>
        <v>1.1368274649761384E-5</v>
      </c>
      <c r="CZ112" s="267">
        <f>INDEX($M$101:$Z$115,MATCH($CW112,$L$101:$L$115,0),MATCH(CZ$102,$M$102:$Z$102,0))/INDEX(고양시_재차인원!$K$4:$O$20,MATCH("경기도",고양시_재차인원!$K$4:$K$20,0),MATCH(CZ$102,고양시_재차인원!$K$4:$O$4,0))</f>
        <v>3.1603803526336644E-3</v>
      </c>
      <c r="DA112" s="267">
        <f>INDEX($M$101:$Z$115,MATCH($CW112,$L$101:$L$115,0),MATCH(DA$102,$M$102:$Z$102,0))/INDEX(고양시_재차인원!$D$4:$H$35,MATCH("고양시",고양시_재차인원!$B$4:$B$35,0),MATCH($CX$101,고양시_재차인원!$D$4:$H$4,0))</f>
        <v>8.8252119111002073E-2</v>
      </c>
      <c r="DB112" s="267">
        <f>INDEX($AA$101:$AN$115,MATCH($CW112,$L$101:$L$115,0),MATCH(DB$102,$AA$102:$AN$102,0))/INDEX(고양시_재차인원!$D$4:$H$35,MATCH("고양시",고양시_재차인원!$B$4:$B$35,0),MATCH($DB$101,고양시_재차인원!$D$4:$H$4,0))</f>
        <v>8.4889854271351268</v>
      </c>
      <c r="DC112" s="267">
        <f>INDEX($AA$101:$AN$115,MATCH($CW112,$L$101:$L$115,0),MATCH(DC$102,$AA$102:$AN$102,0))/INDEX(고양시_재차인원!$K$4:$O$20,MATCH("경기도",고양시_재차인원!$K$4:$K$20,0),MATCH(DC$102,고양시_재차인원!$K$4:$O$4,0))</f>
        <v>8.8401219682636106E-5</v>
      </c>
      <c r="DD112" s="267">
        <f>INDEX($AA$101:$AN$115,MATCH($CW112,$L$101:$L$115,0),MATCH(DD$102,$AA$102:$AN$102,0))/INDEX(고양시_재차인원!$K$4:$O$20,MATCH("경기도",고양시_재차인원!$K$4:$K$20,0),MATCH(DD$102,고양시_재차인원!$K$4:$O$4,0))</f>
        <v>2.4575539071772835E-2</v>
      </c>
      <c r="DE112" s="267">
        <f>INDEX($AA$101:$AN$115,MATCH($CW112,$L$101:$L$115,0),MATCH(DE$102,$AA$102:$AN$102,0))/INDEX(고양시_재차인원!$D$4:$H$35,MATCH("고양시",고양시_재차인원!$B$4:$B$35,0),MATCH($DB$101,고양시_재차인원!$D$4:$H$4,0))</f>
        <v>0.54511452243138592</v>
      </c>
      <c r="DF112" s="267">
        <f>INDEX($AO$101:$BB$115,MATCH($CW112,$L$101:$L$115,0),MATCH(DF$102,$AO$102:$BB$102,0))/INDEX(고양시_재차인원!$D$4:$H$35,MATCH("고양시",고양시_재차인원!$B$4:$B$35,0),MATCH($DF$101,고양시_재차인원!$D$4:$H$4,0))</f>
        <v>0.40811612299565225</v>
      </c>
      <c r="DG112" s="267">
        <f>INDEX($AO$101:$BB$115,MATCH($CW112,$L$101:$L$115,0),MATCH(DG$102,$AO$102:$BB$102,0))/INDEX(고양시_재차인원!$K$4:$O$20,MATCH("경기도",고양시_재차인원!$K$4:$K$20,0),MATCH(DG$102,고양시_재차인원!$K$4:$O$4,0))</f>
        <v>3.9184152769274176E-6</v>
      </c>
      <c r="DH112" s="267">
        <f>INDEX($AO$101:$BB$115,MATCH($CW112,$L$101:$L$115,0),MATCH(DH$102,$AO$102:$BB$102,0))/INDEX(고양시_재차인원!$K$4:$O$20,MATCH("경기도",고양시_재차인원!$K$4:$K$20,0),MATCH(DH$102,고양시_재차인원!$K$4:$O$4,0))</f>
        <v>1.0893194469858221E-3</v>
      </c>
      <c r="DI112" s="267">
        <f>INDEX($AO$101:$BB$115,MATCH($CW112,$L$101:$L$115,0),MATCH(DI$102,$AO$102:$BB$102,0))/INDEX(고양시_재차인원!$D$4:$H$35,MATCH("고양시",고양시_재차인원!$B$4:$B$35,0),MATCH($DF$101,고양시_재차인원!$D$4:$H$4,0))</f>
        <v>2.6206903921898145E-2</v>
      </c>
      <c r="DJ112" s="267">
        <f>INDEX($BC$101:$BP$115,MATCH($CW112,$L$101:$L$115,0),MATCH(DJ$102,$BC$102:$BP$102,0))/INDEX(고양시_재차인원!$D$4:$H$35,MATCH("고양시",고양시_재차인원!$B$4:$B$35,0),MATCH($DJ$101,고양시_재차인원!$D$4:$H$4,0))</f>
        <v>1.057928135382552E-3</v>
      </c>
      <c r="DK112" s="267">
        <f>INDEX($BC$101:$BP$115,MATCH($CW112,$L$101:$L$115,0),MATCH(DK$102,$BC$102:$BP$102,0))/INDEX(고양시_재차인원!$K$4:$O$20,MATCH("경기도",고양시_재차인원!$K$4:$K$20,0),MATCH(DK$102,고양시_재차인원!$K$4:$O$4,0))</f>
        <v>1.0626210920481175E-8</v>
      </c>
      <c r="DL112" s="267">
        <f>INDEX($BC$101:$BP$115,MATCH($CW112,$L$101:$L$115,0),MATCH(DL$102,$BC$102:$BP$102,0))/INDEX(고양시_재차인원!$K$4:$O$20,MATCH("경기도",고양시_재차인원!$K$4:$K$20,0),MATCH(DL$102,고양시_재차인원!$K$4:$O$4,0))</f>
        <v>2.9540866358937669E-6</v>
      </c>
      <c r="DM112" s="267">
        <f>INDEX($BC$101:$BP$115,MATCH($CW112,$L$101:$L$115,0),MATCH(DM$102,$BC$102:$BP$102,0))/INDEX(고양시_재차인원!$D$4:$H$35,MATCH("고양시",고양시_재차인원!$B$4:$B$35,0),MATCH($DJ$101,고양시_재차인원!$D$4:$H$4,0))</f>
        <v>6.7934147753674412E-5</v>
      </c>
      <c r="DN112" s="267">
        <f>INDEX($BQ$101:$CD$115,MATCH($CW112,$L$101:$L$115,0),MATCH(DN$102,$BQ$102:$CD$102,0))/INDEX(고양시_재차인원!$D$4:$H$35,MATCH("고양시",고양시_재차인원!$B$4:$B$35,0),MATCH($DN$101,고양시_재차인원!$D$4:$H$4,0))</f>
        <v>3.2353569431275773E-3</v>
      </c>
      <c r="DO112" s="267">
        <f>INDEX($BQ$101:$CD$115,MATCH($CW112,$L$101:$L$115,0),MATCH(DO$102,$BQ$102:$CD$102,0))/INDEX(고양시_재차인원!$K$4:$O$20,MATCH("경기도",고양시_재차인원!$K$4:$K$20,0),MATCH(DO$102,고양시_재차인원!$K$4:$O$4,0))</f>
        <v>3.0107597608029837E-8</v>
      </c>
      <c r="DP112" s="267">
        <f>INDEX($BQ$101:$CD$115,MATCH($CW112,$L$101:$L$115,0),MATCH(DP$102,$BQ$102:$CD$102,0))/INDEX(고양시_재차인원!$K$4:$O$20,MATCH("경기도",고양시_재차인원!$K$4:$K$20,0),MATCH(DP$102,고양시_재차인원!$K$4:$O$4,0))</f>
        <v>8.3699121350322937E-6</v>
      </c>
      <c r="DQ112" s="267">
        <f>INDEX($BQ$101:$CD$115,MATCH($CW112,$L$101:$L$115,0),MATCH(DQ$102,$BQ$102:$CD$102,0))/INDEX(고양시_재차인원!$D$4:$H$35,MATCH("고양시",고양시_재차인원!$B$4:$B$35,0),MATCH($DN$101,고양시_재차인원!$D$4:$H$4,0))</f>
        <v>2.0775628254827308E-4</v>
      </c>
      <c r="DR112" s="270">
        <f t="shared" si="54"/>
        <v>10.275731643749166</v>
      </c>
      <c r="DS112" s="270">
        <f t="shared" si="48"/>
        <v>1.037286434178534E-4</v>
      </c>
      <c r="DT112" s="270">
        <f t="shared" si="48"/>
        <v>2.8836562870163247E-2</v>
      </c>
      <c r="DU112" s="270">
        <f t="shared" si="48"/>
        <v>0.6598492358945881</v>
      </c>
      <c r="DW112" s="278"/>
      <c r="DX112" s="278" t="s">
        <v>304</v>
      </c>
      <c r="DY112" s="281">
        <f t="shared" si="55"/>
        <v>10.935580879643755</v>
      </c>
      <c r="DZ112" s="281">
        <f t="shared" si="56"/>
        <v>2.8940291513581101E-2</v>
      </c>
      <c r="EB112" s="278"/>
      <c r="EC112" s="278" t="s">
        <v>304</v>
      </c>
      <c r="ED112" s="281">
        <f t="shared" si="57"/>
        <v>10.935580879643755</v>
      </c>
      <c r="EE112" s="281">
        <f t="shared" si="49"/>
        <v>2.8940291513581101E-2</v>
      </c>
      <c r="EL112" s="306" t="s">
        <v>668</v>
      </c>
      <c r="EM112" s="306" t="s">
        <v>220</v>
      </c>
      <c r="EN112" s="306">
        <v>51875.97</v>
      </c>
      <c r="EO112" s="306">
        <v>0.27933686355182291</v>
      </c>
      <c r="EP112" s="307">
        <v>849110</v>
      </c>
      <c r="EQ112" s="308">
        <f t="shared" si="58"/>
        <v>1266.3412983681837</v>
      </c>
      <c r="ER112" s="308">
        <f t="shared" si="59"/>
        <v>3.3512884897300408</v>
      </c>
      <c r="ET112" s="420" t="s">
        <v>668</v>
      </c>
      <c r="EU112" s="420" t="s">
        <v>220</v>
      </c>
      <c r="EV112" s="420">
        <v>51875.97</v>
      </c>
      <c r="EW112" s="420">
        <v>0.27933686355182291</v>
      </c>
      <c r="EX112" s="421">
        <v>849110</v>
      </c>
      <c r="EY112" s="422">
        <f t="shared" si="60"/>
        <v>1230.2505713646906</v>
      </c>
      <c r="EZ112" s="422">
        <f t="shared" si="50"/>
        <v>3.2557767677727347</v>
      </c>
      <c r="FA112">
        <v>0</v>
      </c>
      <c r="FD112" s="306" t="s">
        <v>668</v>
      </c>
      <c r="FE112" s="306" t="s">
        <v>220</v>
      </c>
      <c r="FF112" s="306">
        <v>51875.97</v>
      </c>
      <c r="FG112" s="306">
        <v>0.27933686355182291</v>
      </c>
      <c r="FH112" s="307">
        <v>849110</v>
      </c>
      <c r="FI112" s="308">
        <f t="shared" si="61"/>
        <v>1230.2505713646906</v>
      </c>
      <c r="FJ112" s="308">
        <f t="shared" si="51"/>
        <v>3.2557767677727347</v>
      </c>
      <c r="FL112" s="101"/>
      <c r="FM112" s="101"/>
      <c r="FN112" s="101"/>
      <c r="FO112" s="101"/>
      <c r="FP112" s="374"/>
      <c r="FQ112" s="404"/>
      <c r="FR112" s="404"/>
    </row>
    <row r="113" spans="1:174" ht="25">
      <c r="A113" s="205"/>
      <c r="B113" s="205" t="s">
        <v>305</v>
      </c>
      <c r="C113" s="400">
        <f>$AB71*KTDB_TripDistribution_2025!L$12 * (1+KTDB_발생량도착량_증가율!$C$8*2)</f>
        <v>10.111004374969113</v>
      </c>
      <c r="D113" s="400">
        <f>$AB71*KTDB_TripDistribution_2025!M$12 * (1+KTDB_발생량도착량_증가율!$C$8*2)</f>
        <v>78.624518363699138</v>
      </c>
      <c r="E113" s="400">
        <f>$AB71*KTDB_TripDistribution_2025!N$12 * (1+KTDB_발생량도착량_증가율!$C$8*2)</f>
        <v>3.4850595388096584</v>
      </c>
      <c r="F113" s="400">
        <f>$AB71*KTDB_TripDistribution_2025!O$12 * (1+KTDB_발생량도착량_증가율!$C$8*2)</f>
        <v>9.4510089188058859E-3</v>
      </c>
      <c r="G113" s="400">
        <f>$AB71*KTDB_TripDistribution_2025!P$12 * (1+KTDB_발생량도착량_증가율!$C$8*2)</f>
        <v>2.6777858603283213E-2</v>
      </c>
      <c r="H113" s="400">
        <f>$AB71*KTDB_TripDistribution_2025!Q$12 * (1+KTDB_발생량도착량_증가율!$C$8*2)</f>
        <v>92.256811145</v>
      </c>
      <c r="I113" s="56"/>
      <c r="J113" s="56"/>
      <c r="K113" s="206"/>
      <c r="L113" s="206" t="s">
        <v>305</v>
      </c>
      <c r="M113" s="206">
        <f>INDEX($A$102:$H$115,MATCH($L113,$B$102:$B$115,0),MATCH($M$101,$A$102:$H$102,0))*고양시_Modal_split!C$3 * 0.01</f>
        <v>2.8310812249913515E-2</v>
      </c>
      <c r="N113" s="206">
        <f>INDEX($A$102:$H$115,MATCH($L113,$B$102:$B$115,0),MATCH($M$101,$A$102:$H$102,0))*고양시_Modal_split!D$3 * 0.01</f>
        <v>4.7552053575479736</v>
      </c>
      <c r="O113" s="206">
        <f>INDEX($A$102:$H$115,MATCH($L113,$B$102:$B$115,0),MATCH($M$101,$A$102:$H$102,0))*고양시_Modal_split!E$3 * 0.01</f>
        <v>0.57531614893574257</v>
      </c>
      <c r="P113" s="206">
        <f>INDEX($A$102:$H$115,MATCH($L113,$B$102:$B$115,0),MATCH($M$101,$A$102:$H$102,0))*고양시_Modal_split!F$3 * 0.01</f>
        <v>0.92717910118466762</v>
      </c>
      <c r="Q113" s="206">
        <f>INDEX($A$102:$H$115,MATCH($L113,$B$102:$B$115,0),MATCH($M$101,$A$102:$H$102,0))*고양시_Modal_split!G$3 * 0.01</f>
        <v>9.3021240249715836E-2</v>
      </c>
      <c r="R113" s="206">
        <f>INDEX($A$102:$H$115,MATCH($L113,$B$102:$B$115,0),MATCH($M$101,$A$102:$H$102,0))*고양시_Modal_split!H$3 * 0.01</f>
        <v>1.0111004374969113E-3</v>
      </c>
      <c r="S113" s="206">
        <f>INDEX($A$102:$H$115,MATCH($L113,$B$102:$B$115,0),MATCH($M$101,$A$102:$H$102,0))*고양시_Modal_split!I$3 * 0.01</f>
        <v>0.28108592162414137</v>
      </c>
      <c r="T113" s="206">
        <f>INDEX($A$102:$H$115,MATCH($L113,$B$102:$B$115,0),MATCH($M$101,$A$102:$H$102,0))*고양시_Modal_split!J$3 * 0.01</f>
        <v>3.077789731740598</v>
      </c>
      <c r="U113" s="206">
        <f>INDEX($A$102:$H$115,MATCH($L113,$B$102:$B$115,0),MATCH($M$101,$A$102:$H$102,0))*고양시_Modal_split!K$3 * 0.01</f>
        <v>1.516650656245367E-2</v>
      </c>
      <c r="V113" s="206">
        <f>INDEX($A$102:$H$115,MATCH($L113,$B$102:$B$115,0),MATCH($M$101,$A$102:$H$102,0))*고양시_Modal_split!L$3 * 0.01</f>
        <v>0.30535233212406721</v>
      </c>
      <c r="W113" s="206">
        <f>INDEX($A$102:$H$115,MATCH($L113,$B$102:$B$115,0),MATCH($M$101,$A$102:$H$102,0))*고양시_Modal_split!M$3 * 0.01</f>
        <v>2.3255310062428959E-2</v>
      </c>
      <c r="X113" s="206">
        <f>INDEX($A$102:$H$115,MATCH($L113,$B$102:$B$115,0),MATCH($M$101,$A$102:$H$102,0))*고양시_Modal_split!N$3 * 0.01</f>
        <v>1.0111004374969113E-2</v>
      </c>
      <c r="Y113" s="206">
        <f>INDEX($A$102:$H$115,MATCH($L113,$B$102:$B$115,0),MATCH($M$101,$A$102:$H$102,0))*고양시_Modal_split!O$3 * 0.01</f>
        <v>1.8199807874944404E-2</v>
      </c>
      <c r="Z113" s="209">
        <f>INDEX($A$102:$H$115,MATCH($L113,$B$102:$B$115,0),MATCH($M$101,$A$102:$H$102,0))*고양시_Modal_split!P$3 * 0.01</f>
        <v>10.111004374969113</v>
      </c>
      <c r="AA113" s="207">
        <f>INDEX($A$102:$H$115,MATCH($L113,$B$102:$B$115,0),MATCH($AA$101,$A$102:$H$102,0))*고양시_Modal_split!C$3 * 0.01</f>
        <v>0.22014865141835757</v>
      </c>
      <c r="AB113" s="207">
        <f>INDEX($A$102:$H$115,MATCH($L113,$B$102:$B$115,0),MATCH($AA$101,$A$102:$H$102,0))*고양시_Modal_split!D$3 * 0.01</f>
        <v>36.977110986447705</v>
      </c>
      <c r="AC113" s="207">
        <f>INDEX($A$102:$H$115,MATCH($L113,$B$102:$B$115,0),MATCH($AA$101,$A$102:$H$102,0))*고양시_Modal_split!E$3 * 0.01</f>
        <v>4.4737350948944803</v>
      </c>
      <c r="AD113" s="207">
        <f>INDEX($A$102:$H$115,MATCH($L113,$B$102:$B$115,0),MATCH($AA$101,$A$102:$H$102,0))*고양시_Modal_split!F$3 * 0.01</f>
        <v>7.2098683339512109</v>
      </c>
      <c r="AE113" s="207">
        <f>INDEX($A$102:$H$115,MATCH($L113,$B$102:$B$115,0),MATCH($AA$101,$A$102:$H$102,0))*고양시_Modal_split!G$3 * 0.01</f>
        <v>0.72334556894603197</v>
      </c>
      <c r="AF113" s="207">
        <f>INDEX($A$102:$H$115,MATCH($L113,$B$102:$B$115,0),MATCH($AA$101,$A$102:$H$102,0))*고양시_Modal_split!H$3 * 0.01</f>
        <v>7.8624518363699138E-3</v>
      </c>
      <c r="AG113" s="207">
        <f>INDEX($A$102:$H$115,MATCH($L113,$B$102:$B$115,0),MATCH($AA$101,$A$102:$H$102,0))*고양시_Modal_split!I$3 * 0.01</f>
        <v>2.185761610510836</v>
      </c>
      <c r="AH113" s="207">
        <f>INDEX($A$102:$H$115,MATCH($L113,$B$102:$B$115,0),MATCH($AA$101,$A$102:$H$102,0))*고양시_Modal_split!J$3 * 0.01</f>
        <v>23.933303389910019</v>
      </c>
      <c r="AI113" s="207">
        <f>INDEX($A$102:$H$115,MATCH($L113,$B$102:$B$115,0),MATCH($AA$101,$A$102:$H$102,0))*고양시_Modal_split!K$3 * 0.01</f>
        <v>0.11793677754554871</v>
      </c>
      <c r="AJ113" s="207">
        <f>INDEX($A$102:$H$115,MATCH($L113,$B$102:$B$115,0),MATCH($AA$101,$A$102:$H$102,0))*고양시_Modal_split!L$3 * 0.01</f>
        <v>2.3744604545837142</v>
      </c>
      <c r="AK113" s="207">
        <f>INDEX($A$102:$H$115,MATCH($L113,$B$102:$B$115,0),MATCH($AA$101,$A$102:$H$102,0))*고양시_Modal_split!M$3 * 0.01</f>
        <v>0.18083639223650799</v>
      </c>
      <c r="AL113" s="207">
        <f>INDEX($A$102:$H$115,MATCH($L113,$B$102:$B$115,0),MATCH($AA$101,$A$102:$H$102,0))*고양시_Modal_split!N$3 * 0.01</f>
        <v>7.8624518363699145E-2</v>
      </c>
      <c r="AM113" s="207">
        <f>INDEX($A$102:$H$115,MATCH($L113,$B$102:$B$115,0),MATCH($AA$101,$A$102:$H$102,0))*고양시_Modal_split!O$3 * 0.01</f>
        <v>0.14152413305465844</v>
      </c>
      <c r="AN113" s="207">
        <f>INDEX($A$102:$H$115,MATCH($L113,$B$102:$B$115,0),MATCH($AA$101,$A$102:$H$102,0))*고양시_Modal_split!P$3 * 0.01</f>
        <v>78.624518363699138</v>
      </c>
      <c r="AO113" s="303">
        <f>INDEX($A$102:$H$115,MATCH($L113,$B$102:$B$115,0),MATCH($AO$101,$A$102:$H$102,0))*고양시_Modal_split!C$3 * 0.01</f>
        <v>9.7581667086670421E-3</v>
      </c>
      <c r="AP113" s="303">
        <f>INDEX($A$102:$H$115,MATCH($L113,$B$102:$B$115,0),MATCH($AO$101,$A$102:$H$102,0))*고양시_Modal_split!D$3 * 0.01</f>
        <v>1.6390235011021823</v>
      </c>
      <c r="AQ113" s="303">
        <f>INDEX($A$102:$H$115,MATCH($L113,$B$102:$B$115,0),MATCH($AO$101,$A$102:$H$102,0))*고양시_Modal_split!E$3 * 0.01</f>
        <v>0.19829988775826957</v>
      </c>
      <c r="AR113" s="303">
        <f>INDEX($A$102:$H$115,MATCH($L113,$B$102:$B$115,0),MATCH($AO$101,$A$102:$H$102,0))*고양시_Modal_split!F$3 * 0.01</f>
        <v>0.31957995970884567</v>
      </c>
      <c r="AS113" s="303">
        <f>INDEX($A$102:$H$115,MATCH($L113,$B$102:$B$115,0),MATCH($AO$101,$A$102:$H$102,0))*고양시_Modal_split!G$3 * 0.01</f>
        <v>3.2062547757048858E-2</v>
      </c>
      <c r="AT113" s="303">
        <f>INDEX($A$102:$H$115,MATCH($L113,$B$102:$B$115,0),MATCH($AO$101,$A$102:$H$102,0))*고양시_Modal_split!H$3 * 0.01</f>
        <v>3.485059538809659E-4</v>
      </c>
      <c r="AU113" s="303">
        <f>INDEX($A$102:$H$115,MATCH($L113,$B$102:$B$115,0),MATCH($AO$101,$A$102:$H$102,0))*고양시_Modal_split!I$3 * 0.01</f>
        <v>9.6884655178908499E-2</v>
      </c>
      <c r="AV113" s="303">
        <f>INDEX($A$102:$H$115,MATCH($L113,$B$102:$B$115,0),MATCH($AO$101,$A$102:$H$102,0))*고양시_Modal_split!J$3 * 0.01</f>
        <v>1.0608521236136601</v>
      </c>
      <c r="AW113" s="303">
        <f>INDEX($A$102:$H$115,MATCH($L113,$B$102:$B$115,0),MATCH($AO$101,$A$102:$H$102,0))*고양시_Modal_split!K$3 * 0.01</f>
        <v>5.2275893082144873E-3</v>
      </c>
      <c r="AX113" s="303">
        <f>INDEX($A$102:$H$115,MATCH($L113,$B$102:$B$115,0),MATCH($AO$101,$A$102:$H$102,0))*고양시_Modal_split!L$3 * 0.01</f>
        <v>0.10524879807205169</v>
      </c>
      <c r="AY113" s="303">
        <f>INDEX($A$102:$H$115,MATCH($L113,$B$102:$B$115,0),MATCH($AO$101,$A$102:$H$102,0))*고양시_Modal_split!M$3 * 0.01</f>
        <v>8.0156369392622145E-3</v>
      </c>
      <c r="AZ113" s="303">
        <f>INDEX($A$102:$H$115,MATCH($L113,$B$102:$B$115,0),MATCH($AO$101,$A$102:$H$102,0))*고양시_Modal_split!N$3 * 0.01</f>
        <v>3.4850595388096583E-3</v>
      </c>
      <c r="BA113" s="207">
        <f>INDEX($A$102:$H$115,MATCH($L113,$B$102:$B$115,0),MATCH($AO$101,$A$102:$H$102,0))*고양시_Modal_split!O$3 * 0.01</f>
        <v>6.2731071698573851E-3</v>
      </c>
      <c r="BB113" s="207">
        <f>INDEX($A$102:$H$115,MATCH($L113,$B$102:$B$115,0),MATCH($AO$101,$A$102:$H$102,0))*고양시_Modal_split!P$3 * 0.01</f>
        <v>3.4850595388096584</v>
      </c>
      <c r="BC113" s="207">
        <f>INDEX($A$102:$H$115,MATCH($L113,$B$102:$B$115,0),MATCH($BC$101,$A$102:$H$102,0))*고양시_Modal_split!C$3 * 0.01</f>
        <v>2.6462824972656477E-5</v>
      </c>
      <c r="BD113" s="207">
        <f>INDEX($A$102:$H$115,MATCH($L113,$B$102:$B$115,0),MATCH($BC$101,$A$102:$H$102,0))*고양시_Modal_split!D$3 * 0.01</f>
        <v>4.4448094945144087E-3</v>
      </c>
      <c r="BE113" s="207">
        <f>INDEX($A$102:$H$115,MATCH($L113,$B$102:$B$115,0),MATCH($BC$101,$A$102:$H$102,0))*고양시_Modal_split!E$3 * 0.01</f>
        <v>5.3776240748005491E-4</v>
      </c>
      <c r="BF113" s="207">
        <f>INDEX($A$102:$H$115,MATCH($L113,$B$102:$B$115,0),MATCH($BC$101,$A$102:$H$102,0))*고양시_Modal_split!F$3 * 0.01</f>
        <v>8.6665751785449969E-4</v>
      </c>
      <c r="BG113" s="207">
        <f>INDEX($A$102:$H$115,MATCH($L113,$B$102:$B$115,0),MATCH($BC$101,$A$102:$H$102,0))*고양시_Modal_split!G$3 * 0.01</f>
        <v>8.6949282053014147E-5</v>
      </c>
      <c r="BH113" s="207">
        <f>INDEX($A$102:$H$115,MATCH($L113,$B$102:$B$115,0),MATCH($BC$101,$A$102:$H$102,0))*고양시_Modal_split!H$3 * 0.01</f>
        <v>9.451008918805887E-7</v>
      </c>
      <c r="BI113" s="207">
        <f>INDEX($A$102:$H$115,MATCH($L113,$B$102:$B$115,0),MATCH($BC$101,$A$102:$H$102,0))*고양시_Modal_split!I$3 * 0.01</f>
        <v>2.6273804794280363E-4</v>
      </c>
      <c r="BJ113" s="207">
        <f>INDEX($A$102:$H$115,MATCH($L113,$B$102:$B$115,0),MATCH($BC$101,$A$102:$H$102,0))*고양시_Modal_split!J$3 * 0.01</f>
        <v>2.8768871148845115E-3</v>
      </c>
      <c r="BK113" s="207">
        <f>INDEX($A$102:$H$115,MATCH($L113,$B$102:$B$115,0),MATCH($BC$101,$A$102:$H$102,0))*고양시_Modal_split!K$3 * 0.01</f>
        <v>1.4176513378208828E-5</v>
      </c>
      <c r="BL113" s="207">
        <f>INDEX($A$102:$H$115,MATCH($L113,$B$102:$B$115,0),MATCH($BC$101,$A$102:$H$102,0))*고양시_Modal_split!L$3 * 0.01</f>
        <v>2.8542046934793778E-4</v>
      </c>
      <c r="BM113" s="207">
        <f>INDEX($A$102:$H$115,MATCH($L113,$B$102:$B$115,0),MATCH($BC$101,$A$102:$H$102,0))*고양시_Modal_split!M$3 * 0.01</f>
        <v>2.1737320513253537E-5</v>
      </c>
      <c r="BN113" s="207">
        <f>INDEX($A$102:$H$115,MATCH($L113,$B$102:$B$115,0),MATCH($BC$101,$A$102:$H$102,0))*고양시_Modal_split!N$3 * 0.01</f>
        <v>9.451008918805886E-6</v>
      </c>
      <c r="BO113" s="207">
        <f>INDEX($A$102:$H$115,MATCH($L113,$B$102:$B$115,0),MATCH($BC$101,$A$102:$H$102,0))*고양시_Modal_split!O$3 * 0.01</f>
        <v>1.7011816053850593E-5</v>
      </c>
      <c r="BP113" s="207">
        <f>INDEX($A$102:$H$115,MATCH($L113,$B$102:$B$115,0),MATCH($BC$101,$A$102:$H$102,0))*고양시_Modal_split!P$3 * 0.01</f>
        <v>9.4510089188058859E-3</v>
      </c>
      <c r="BQ113" s="207">
        <f>INDEX($A$102:$H$115,MATCH($L113,$B$102:$B$115,0),MATCH($BQ$101,$A$102:$H$102,0))*고양시_Modal_split!C$3 * 0.01</f>
        <v>7.4978004089193E-5</v>
      </c>
      <c r="BR113" s="207">
        <f>INDEX($A$102:$H$115,MATCH($L113,$B$102:$B$115,0),MATCH($BQ$101,$A$102:$H$102,0))*고양시_Modal_split!D$3 * 0.01</f>
        <v>1.2593626901124096E-2</v>
      </c>
      <c r="BS113" s="207">
        <f>INDEX($A$102:$H$115,MATCH($L113,$B$102:$B$115,0),MATCH($BQ$101,$A$102:$H$102,0))*고양시_Modal_split!E$3 * 0.01</f>
        <v>1.5236601545268148E-3</v>
      </c>
      <c r="BT113" s="207">
        <f>INDEX($A$102:$H$115,MATCH($L113,$B$102:$B$115,0),MATCH($BQ$101,$A$102:$H$102,0))*고양시_Modal_split!F$3 * 0.01</f>
        <v>2.4555296339210707E-3</v>
      </c>
      <c r="BU113" s="207">
        <f>INDEX($A$102:$H$115,MATCH($L113,$B$102:$B$115,0),MATCH($BQ$101,$A$102:$H$102,0))*고양시_Modal_split!G$3 * 0.01</f>
        <v>2.4635629915020557E-4</v>
      </c>
      <c r="BV113" s="207">
        <f>INDEX($A$102:$H$115,MATCH($L113,$B$102:$B$115,0),MATCH($BQ$101,$A$102:$H$102,0))*고양시_Modal_split!H$3 * 0.01</f>
        <v>2.6777858603283218E-6</v>
      </c>
      <c r="BW113" s="207">
        <f>INDEX($A$102:$H$115,MATCH($L113,$B$102:$B$115,0),MATCH($BQ$101,$A$102:$H$102,0))*고양시_Modal_split!I$3 * 0.01</f>
        <v>7.4442446917127327E-4</v>
      </c>
      <c r="BX113" s="207">
        <f>INDEX($A$102:$H$115,MATCH($L113,$B$102:$B$115,0),MATCH($BQ$101,$A$102:$H$102,0))*고양시_Modal_split!J$3 * 0.01</f>
        <v>8.1511801588394113E-3</v>
      </c>
      <c r="BY113" s="207">
        <f>INDEX($A$102:$H$115,MATCH($L113,$B$102:$B$115,0),MATCH($BQ$101,$A$102:$H$102,0))*고양시_Modal_split!K$3 * 0.01</f>
        <v>4.0166787904924818E-5</v>
      </c>
      <c r="BZ113" s="207">
        <f>INDEX($A$102:$H$115,MATCH($L113,$B$102:$B$115,0),MATCH($BQ$101,$A$102:$H$102,0))*고양시_Modal_split!L$3 * 0.01</f>
        <v>8.0869132981915316E-4</v>
      </c>
      <c r="CA113" s="207">
        <f>INDEX($A$102:$H$115,MATCH($L113,$B$102:$B$115,0),MATCH($BQ$101,$A$102:$H$102,0))*고양시_Modal_split!M$3 * 0.01</f>
        <v>6.1589074787551392E-5</v>
      </c>
      <c r="CB113" s="207">
        <f>INDEX($A$102:$H$115,MATCH($L113,$B$102:$B$115,0),MATCH($BQ$101,$A$102:$H$102,0))*고양시_Modal_split!N$3 * 0.01</f>
        <v>2.6777858603283216E-5</v>
      </c>
      <c r="CC113" s="207">
        <f>INDEX($A$102:$H$115,MATCH($L113,$B$102:$B$115,0),MATCH($BQ$101,$A$102:$H$102,0))*고양시_Modal_split!O$3 * 0.01</f>
        <v>4.8200145485909784E-5</v>
      </c>
      <c r="CD113" s="207">
        <f>INDEX($A$102:$H$115,MATCH($L113,$B$102:$B$115,0),MATCH($BQ$101,$A$102:$H$102,0))*고양시_Modal_split!P$3 * 0.01</f>
        <v>2.6777858603283213E-2</v>
      </c>
      <c r="CE113" s="304">
        <f t="shared" si="52"/>
        <v>0.25831907120599995</v>
      </c>
      <c r="CF113" s="304">
        <f t="shared" si="47"/>
        <v>43.388378281493495</v>
      </c>
      <c r="CG113" s="304">
        <f t="shared" si="47"/>
        <v>5.2494125541505001</v>
      </c>
      <c r="CH113" s="304">
        <f t="shared" si="47"/>
        <v>8.4599495819964989</v>
      </c>
      <c r="CI113" s="304">
        <f t="shared" si="47"/>
        <v>0.84876266253399979</v>
      </c>
      <c r="CJ113" s="304">
        <f t="shared" si="47"/>
        <v>9.2256811144999992E-3</v>
      </c>
      <c r="CK113" s="304">
        <f t="shared" si="47"/>
        <v>2.5647393498310005</v>
      </c>
      <c r="CL113" s="304">
        <f t="shared" si="47"/>
        <v>28.082973312538002</v>
      </c>
      <c r="CM113" s="304">
        <f t="shared" si="47"/>
        <v>0.13838521671749998</v>
      </c>
      <c r="CN113" s="304">
        <f t="shared" si="47"/>
        <v>2.7861556965790006</v>
      </c>
      <c r="CO113" s="304">
        <f t="shared" si="47"/>
        <v>0.21219066563349995</v>
      </c>
      <c r="CP113" s="304">
        <f t="shared" si="47"/>
        <v>9.2256811145000006E-2</v>
      </c>
      <c r="CQ113" s="304">
        <f t="shared" si="47"/>
        <v>0.16606226006099997</v>
      </c>
      <c r="CR113" s="304">
        <f t="shared" si="47"/>
        <v>92.256811145</v>
      </c>
      <c r="CS113" s="305">
        <f t="shared" si="53"/>
        <v>0</v>
      </c>
      <c r="CV113" s="267"/>
      <c r="CW113" s="267" t="s">
        <v>305</v>
      </c>
      <c r="CX113" s="267">
        <f>INDEX($M$101:$Z$115,MATCH($CW113,$L$101:$L$115,0),MATCH(CX$102,$M$102:$Z$102,0))/INDEX(고양시_재차인원!$D$4:$H$35,MATCH("고양시",고양시_재차인원!$B$4:$B$35,0),MATCH($CX$101,고양시_재차인원!$D$4:$H$4,0))</f>
        <v>4.2457190692392617</v>
      </c>
      <c r="CY113" s="267">
        <f>INDEX($M$101:$Z$115,MATCH($CW113,$L$101:$L$115,0),MATCH(CY$102,$M$102:$Z$102,0))/INDEX(고양시_재차인원!$K$4:$O$20,MATCH("경기도",고양시_재차인원!$K$4:$K$20,0),MATCH(CY$102,고양시_재차인원!$K$4:$O$4,0))</f>
        <v>3.5119848471584279E-5</v>
      </c>
      <c r="CZ113" s="267">
        <f>INDEX($M$101:$Z$115,MATCH($CW113,$L$101:$L$115,0),MATCH(CZ$102,$M$102:$Z$102,0))/INDEX(고양시_재차인원!$K$4:$O$20,MATCH("경기도",고양시_재차인원!$K$4:$K$20,0),MATCH(CZ$102,고양시_재차인원!$K$4:$O$4,0))</f>
        <v>9.7633178751004301E-3</v>
      </c>
      <c r="DA113" s="267">
        <f>INDEX($M$101:$Z$115,MATCH($CW113,$L$101:$L$115,0),MATCH(DA$102,$M$102:$Z$102,0))/INDEX(고양시_재차인원!$D$4:$H$35,MATCH("고양시",고양시_재차인원!$B$4:$B$35,0),MATCH($CX$101,고양시_재차인원!$D$4:$H$4,0))</f>
        <v>0.27263601082506</v>
      </c>
      <c r="DB113" s="267">
        <f>INDEX($AA$101:$AN$115,MATCH($CW113,$L$101:$L$115,0),MATCH(DB$102,$AA$102:$AN$102,0))/INDEX(고양시_재차인원!$D$4:$H$35,MATCH("고양시",고양시_재차인원!$B$4:$B$35,0),MATCH($DB$101,고양시_재차인원!$D$4:$H$4,0))</f>
        <v>26.22490140882816</v>
      </c>
      <c r="DC113" s="267">
        <f>INDEX($AA$101:$AN$115,MATCH($CW113,$L$101:$L$115,0),MATCH(DC$102,$AA$102:$AN$102,0))/INDEX(고양시_재차인원!$K$4:$O$20,MATCH("경기도",고양시_재차인원!$K$4:$K$20,0),MATCH(DC$102,고양시_재차인원!$K$4:$O$4,0))</f>
        <v>2.7309662509100084E-4</v>
      </c>
      <c r="DD113" s="267">
        <f>INDEX($AA$101:$AN$115,MATCH($CW113,$L$101:$L$115,0),MATCH(DD$102,$AA$102:$AN$102,0))/INDEX(고양시_재차인원!$K$4:$O$20,MATCH("경기도",고양시_재차인원!$K$4:$K$20,0),MATCH(DD$102,고양시_재차인원!$K$4:$O$4,0))</f>
        <v>7.5920861775298235E-2</v>
      </c>
      <c r="DE113" s="267">
        <f>INDEX($AA$101:$AN$115,MATCH($CW113,$L$101:$L$115,0),MATCH(DE$102,$AA$102:$AN$102,0))/INDEX(고양시_재차인원!$D$4:$H$35,MATCH("고양시",고양시_재차인원!$B$4:$B$35,0),MATCH($DB$101,고양시_재차인원!$D$4:$H$4,0))</f>
        <v>1.6840145067969605</v>
      </c>
      <c r="DF113" s="267">
        <f>INDEX($AO$101:$BB$115,MATCH($CW113,$L$101:$L$115,0),MATCH(DF$102,$AO$102:$BB$102,0))/INDEX(고양시_재차인원!$D$4:$H$35,MATCH("고양시",고양시_재차인원!$B$4:$B$35,0),MATCH($DF$101,고양시_재차인원!$D$4:$H$4,0))</f>
        <v>1.2607873085401402</v>
      </c>
      <c r="DG113" s="267">
        <f>INDEX($AO$101:$BB$115,MATCH($CW113,$L$101:$L$115,0),MATCH(DG$102,$AO$102:$BB$102,0))/INDEX(고양시_재차인원!$K$4:$O$20,MATCH("경기도",고양시_재차인원!$K$4:$K$20,0),MATCH(DG$102,고양시_재차인원!$K$4:$O$4,0))</f>
        <v>1.2105104337650778E-5</v>
      </c>
      <c r="DH113" s="267">
        <f>INDEX($AO$101:$BB$115,MATCH($CW113,$L$101:$L$115,0),MATCH(DH$102,$AO$102:$BB$102,0))/INDEX(고양시_재차인원!$K$4:$O$20,MATCH("경기도",고양시_재차인원!$K$4:$K$20,0),MATCH(DH$102,고양시_재차인원!$K$4:$O$4,0))</f>
        <v>3.3652190058669155E-3</v>
      </c>
      <c r="DI113" s="267">
        <f>INDEX($AO$101:$BB$115,MATCH($CW113,$L$101:$L$115,0),MATCH(DI$102,$AO$102:$BB$102,0))/INDEX(고양시_재차인원!$D$4:$H$35,MATCH("고양시",고양시_재차인원!$B$4:$B$35,0),MATCH($DF$101,고양시_재차인원!$D$4:$H$4,0))</f>
        <v>8.0960613901578216E-2</v>
      </c>
      <c r="DJ113" s="267">
        <f>INDEX($BC$101:$BP$115,MATCH($CW113,$L$101:$L$115,0),MATCH(DJ$102,$BC$102:$BP$102,0))/INDEX(고양시_재차인원!$D$4:$H$35,MATCH("고양시",고양시_재차인원!$B$4:$B$35,0),MATCH($DJ$101,고양시_재차인원!$D$4:$H$4,0))</f>
        <v>3.2682422753782412E-3</v>
      </c>
      <c r="DK113" s="267">
        <f>INDEX($BC$101:$BP$115,MATCH($CW113,$L$101:$L$115,0),MATCH(DK$102,$BC$102:$BP$102,0))/INDEX(고양시_재차인원!$K$4:$O$20,MATCH("경기도",고양시_재차인원!$K$4:$K$20,0),MATCH(DK$102,고양시_재차인원!$K$4:$O$4,0))</f>
        <v>3.2827401593629342E-8</v>
      </c>
      <c r="DL113" s="267">
        <f>INDEX($BC$101:$BP$115,MATCH($CW113,$L$101:$L$115,0),MATCH(DL$102,$BC$102:$BP$102,0))/INDEX(고양시_재차인원!$K$4:$O$20,MATCH("경기도",고양시_재차인원!$K$4:$K$20,0),MATCH(DL$102,고양시_재차인원!$K$4:$O$4,0))</f>
        <v>9.1260176430289568E-6</v>
      </c>
      <c r="DM113" s="267">
        <f>INDEX($BC$101:$BP$115,MATCH($CW113,$L$101:$L$115,0),MATCH(DM$102,$BC$102:$BP$102,0))/INDEX(고양시_재차인원!$D$4:$H$35,MATCH("고양시",고양시_재차인원!$B$4:$B$35,0),MATCH($DJ$101,고양시_재차인원!$D$4:$H$4,0))</f>
        <v>2.0986799216760131E-4</v>
      </c>
      <c r="DN113" s="267">
        <f>INDEX($BQ$101:$CD$115,MATCH($CW113,$L$101:$L$115,0),MATCH(DN$102,$BQ$102:$CD$102,0))/INDEX(고양시_재차인원!$D$4:$H$35,MATCH("고양시",고양시_재차인원!$B$4:$B$35,0),MATCH($DN$101,고양시_재차인원!$D$4:$H$4,0))</f>
        <v>9.9949419850191238E-3</v>
      </c>
      <c r="DO113" s="267">
        <f>INDEX($BQ$101:$CD$115,MATCH($CW113,$L$101:$L$115,0),MATCH(DO$102,$BQ$102:$CD$102,0))/INDEX(고양시_재차인원!$K$4:$O$20,MATCH("경기도",고양시_재차인원!$K$4:$K$20,0),MATCH(DO$102,고양시_재차인원!$K$4:$O$4,0))</f>
        <v>9.3010971181949346E-8</v>
      </c>
      <c r="DP113" s="267">
        <f>INDEX($BQ$101:$CD$115,MATCH($CW113,$L$101:$L$115,0),MATCH(DP$102,$BQ$102:$CD$102,0))/INDEX(고양시_재차인원!$K$4:$O$20,MATCH("경기도",고양시_재차인원!$K$4:$K$20,0),MATCH(DP$102,고양시_재차인원!$K$4:$O$4,0))</f>
        <v>2.5857049988581915E-5</v>
      </c>
      <c r="DQ113" s="267">
        <f>INDEX($BQ$101:$CD$115,MATCH($CW113,$L$101:$L$115,0),MATCH(DQ$102,$BQ$102:$CD$102,0))/INDEX(고양시_재차인원!$D$4:$H$35,MATCH("고양시",고양시_재차인원!$B$4:$B$35,0),MATCH($DN$101,고양시_재차인원!$D$4:$H$4,0))</f>
        <v>6.4181851572948662E-4</v>
      </c>
      <c r="DR113" s="270">
        <f t="shared" si="54"/>
        <v>31.744670970867961</v>
      </c>
      <c r="DS113" s="270">
        <f t="shared" si="48"/>
        <v>3.2044741627301152E-4</v>
      </c>
      <c r="DT113" s="270">
        <f t="shared" si="48"/>
        <v>8.9084381723897196E-2</v>
      </c>
      <c r="DU113" s="270">
        <f t="shared" si="48"/>
        <v>2.0384628180314959</v>
      </c>
      <c r="DW113" s="278"/>
      <c r="DX113" s="278" t="s">
        <v>305</v>
      </c>
      <c r="DY113" s="281">
        <f t="shared" si="55"/>
        <v>33.783133788899455</v>
      </c>
      <c r="DZ113" s="281">
        <f t="shared" si="56"/>
        <v>8.9404829140170214E-2</v>
      </c>
      <c r="EB113" s="278"/>
      <c r="EC113" s="278" t="s">
        <v>305</v>
      </c>
      <c r="ED113" s="281">
        <f t="shared" si="57"/>
        <v>33.783133788899455</v>
      </c>
      <c r="EE113" s="281">
        <f t="shared" si="49"/>
        <v>8.9404829140170214E-2</v>
      </c>
      <c r="EL113" s="306" t="s">
        <v>668</v>
      </c>
      <c r="EM113" s="306" t="s">
        <v>221</v>
      </c>
      <c r="EN113" s="306">
        <v>22244.514299999999</v>
      </c>
      <c r="EO113" s="306">
        <v>0.11978017675227419</v>
      </c>
      <c r="EP113" s="307">
        <v>849111</v>
      </c>
      <c r="EQ113" s="308">
        <f t="shared" si="58"/>
        <v>543.00954989818263</v>
      </c>
      <c r="ER113" s="308">
        <f t="shared" si="59"/>
        <v>1.4370388589018246</v>
      </c>
      <c r="ET113" s="420" t="s">
        <v>668</v>
      </c>
      <c r="EU113" s="420" t="s">
        <v>221</v>
      </c>
      <c r="EV113" s="420">
        <v>22244.514299999999</v>
      </c>
      <c r="EW113" s="420">
        <v>0.11978017675227419</v>
      </c>
      <c r="EX113" s="421">
        <v>849111</v>
      </c>
      <c r="EY113" s="422">
        <f t="shared" si="60"/>
        <v>527.53377772608439</v>
      </c>
      <c r="EZ113" s="422">
        <f t="shared" si="50"/>
        <v>1.3960832514231227</v>
      </c>
      <c r="FA113">
        <v>0</v>
      </c>
      <c r="FD113" s="306" t="s">
        <v>668</v>
      </c>
      <c r="FE113" s="306" t="s">
        <v>221</v>
      </c>
      <c r="FF113" s="306">
        <v>22244.514299999999</v>
      </c>
      <c r="FG113" s="306">
        <v>0.11978017675227419</v>
      </c>
      <c r="FH113" s="307">
        <v>849111</v>
      </c>
      <c r="FI113" s="308">
        <f t="shared" si="61"/>
        <v>527.53377772608439</v>
      </c>
      <c r="FJ113" s="308">
        <f t="shared" si="51"/>
        <v>1.3960832514231227</v>
      </c>
      <c r="FL113" s="101"/>
      <c r="FM113" s="101"/>
      <c r="FN113" s="101"/>
      <c r="FO113" s="101"/>
      <c r="FP113" s="374"/>
      <c r="FQ113" s="404"/>
      <c r="FR113" s="404"/>
    </row>
    <row r="114" spans="1:174" ht="25">
      <c r="A114" s="205"/>
      <c r="B114" s="205" t="s">
        <v>47</v>
      </c>
      <c r="C114" s="400">
        <f>$AB72*KTDB_TripDistribution_2025!L$12 * (1+KTDB_발생량도착량_증가율!$C$8*2)</f>
        <v>876.0337836786822</v>
      </c>
      <c r="D114" s="400">
        <f>$AB72*KTDB_TripDistribution_2025!M$12 * (1+KTDB_발생량도착량_증가율!$C$8*2)</f>
        <v>6812.1555245866257</v>
      </c>
      <c r="E114" s="400">
        <f>$AB72*KTDB_TripDistribution_2025!N$12 * (1+KTDB_발생량도착량_증가율!$C$8*2)</f>
        <v>301.95119900125991</v>
      </c>
      <c r="F114" s="400">
        <f>$AB72*KTDB_TripDistribution_2025!O$12 * (1+KTDB_발생량도착량_증가율!$C$8*2)</f>
        <v>0.81885070915596214</v>
      </c>
      <c r="G114" s="400">
        <f>$AB72*KTDB_TripDistribution_2025!P$12 * (1+KTDB_발생량도착량_증가율!$C$8*2)</f>
        <v>2.3200770092752143</v>
      </c>
      <c r="H114" s="400">
        <f>$AB72*KTDB_TripDistribution_2025!Q$12 * (1+KTDB_발생량도착량_증가율!$C$8*2)</f>
        <v>7993.2794349849992</v>
      </c>
      <c r="I114" s="56"/>
      <c r="J114" s="56"/>
      <c r="K114" s="206"/>
      <c r="L114" s="206" t="s">
        <v>47</v>
      </c>
      <c r="M114" s="206">
        <f>INDEX($A$102:$H$115,MATCH($L114,$B$102:$B$115,0),MATCH($M$101,$A$102:$H$102,0))*고양시_Modal_split!C$3 * 0.01</f>
        <v>2.45289459430031</v>
      </c>
      <c r="N114" s="206">
        <f>INDEX($A$102:$H$115,MATCH($L114,$B$102:$B$115,0),MATCH($M$101,$A$102:$H$102,0))*고양시_Modal_split!D$3 * 0.01</f>
        <v>411.9986884640843</v>
      </c>
      <c r="O114" s="206">
        <f>INDEX($A$102:$H$115,MATCH($L114,$B$102:$B$115,0),MATCH($M$101,$A$102:$H$102,0))*고양시_Modal_split!E$3 * 0.01</f>
        <v>49.846322291317009</v>
      </c>
      <c r="P114" s="206">
        <f>INDEX($A$102:$H$115,MATCH($L114,$B$102:$B$115,0),MATCH($M$101,$A$102:$H$102,0))*고양시_Modal_split!F$3 * 0.01</f>
        <v>80.332297963335165</v>
      </c>
      <c r="Q114" s="206">
        <f>INDEX($A$102:$H$115,MATCH($L114,$B$102:$B$115,0),MATCH($M$101,$A$102:$H$102,0))*고양시_Modal_split!G$3 * 0.01</f>
        <v>8.059510809843875</v>
      </c>
      <c r="R114" s="206">
        <f>INDEX($A$102:$H$115,MATCH($L114,$B$102:$B$115,0),MATCH($M$101,$A$102:$H$102,0))*고양시_Modal_split!H$3 * 0.01</f>
        <v>8.7603378367868232E-2</v>
      </c>
      <c r="S114" s="206">
        <f>INDEX($A$102:$H$115,MATCH($L114,$B$102:$B$115,0),MATCH($M$101,$A$102:$H$102,0))*고양시_Modal_split!I$3 * 0.01</f>
        <v>24.353739186267362</v>
      </c>
      <c r="T114" s="206">
        <f>INDEX($A$102:$H$115,MATCH($L114,$B$102:$B$115,0),MATCH($M$101,$A$102:$H$102,0))*고양시_Modal_split!J$3 * 0.01</f>
        <v>266.6646837517909</v>
      </c>
      <c r="U114" s="206">
        <f>INDEX($A$102:$H$115,MATCH($L114,$B$102:$B$115,0),MATCH($M$101,$A$102:$H$102,0))*고양시_Modal_split!K$3 * 0.01</f>
        <v>1.3140506755180232</v>
      </c>
      <c r="V114" s="206">
        <f>INDEX($A$102:$H$115,MATCH($L114,$B$102:$B$115,0),MATCH($M$101,$A$102:$H$102,0))*고양시_Modal_split!L$3 * 0.01</f>
        <v>26.456220267096199</v>
      </c>
      <c r="W114" s="206">
        <f>INDEX($A$102:$H$115,MATCH($L114,$B$102:$B$115,0),MATCH($M$101,$A$102:$H$102,0))*고양시_Modal_split!M$3 * 0.01</f>
        <v>2.0148777024609688</v>
      </c>
      <c r="X114" s="206">
        <f>INDEX($A$102:$H$115,MATCH($L114,$B$102:$B$115,0),MATCH($M$101,$A$102:$H$102,0))*고양시_Modal_split!N$3 * 0.01</f>
        <v>0.87603378367868234</v>
      </c>
      <c r="Y114" s="206">
        <f>INDEX($A$102:$H$115,MATCH($L114,$B$102:$B$115,0),MATCH($M$101,$A$102:$H$102,0))*고양시_Modal_split!O$3 * 0.01</f>
        <v>1.576860810621628</v>
      </c>
      <c r="Z114" s="209">
        <f>INDEX($A$102:$H$115,MATCH($L114,$B$102:$B$115,0),MATCH($M$101,$A$102:$H$102,0))*고양시_Modal_split!P$3 * 0.01</f>
        <v>876.0337836786822</v>
      </c>
      <c r="AA114" s="207">
        <f>INDEX($A$102:$H$115,MATCH($L114,$B$102:$B$115,0),MATCH($AA$101,$A$102:$H$102,0))*고양시_Modal_split!C$3 * 0.01</f>
        <v>19.074035468842553</v>
      </c>
      <c r="AB114" s="207">
        <f>INDEX($A$102:$H$115,MATCH($L114,$B$102:$B$115,0),MATCH($AA$101,$A$102:$H$102,0))*고양시_Modal_split!D$3 * 0.01</f>
        <v>3203.7567432130904</v>
      </c>
      <c r="AC114" s="207">
        <f>INDEX($A$102:$H$115,MATCH($L114,$B$102:$B$115,0),MATCH($AA$101,$A$102:$H$102,0))*고양시_Modal_split!E$3 * 0.01</f>
        <v>387.61164934897897</v>
      </c>
      <c r="AD114" s="207">
        <f>INDEX($A$102:$H$115,MATCH($L114,$B$102:$B$115,0),MATCH($AA$101,$A$102:$H$102,0))*고양시_Modal_split!F$3 * 0.01</f>
        <v>624.67466160459355</v>
      </c>
      <c r="AE114" s="207">
        <f>INDEX($A$102:$H$115,MATCH($L114,$B$102:$B$115,0),MATCH($AA$101,$A$102:$H$102,0))*고양시_Modal_split!G$3 * 0.01</f>
        <v>62.67183082619696</v>
      </c>
      <c r="AF114" s="207">
        <f>INDEX($A$102:$H$115,MATCH($L114,$B$102:$B$115,0),MATCH($AA$101,$A$102:$H$102,0))*고양시_Modal_split!H$3 * 0.01</f>
        <v>0.68121555245866261</v>
      </c>
      <c r="AG114" s="207">
        <f>INDEX($A$102:$H$115,MATCH($L114,$B$102:$B$115,0),MATCH($AA$101,$A$102:$H$102,0))*고양시_Modal_split!I$3 * 0.01</f>
        <v>189.37792358350816</v>
      </c>
      <c r="AH114" s="207">
        <f>INDEX($A$102:$H$115,MATCH($L114,$B$102:$B$115,0),MATCH($AA$101,$A$102:$H$102,0))*고양시_Modal_split!J$3 * 0.01</f>
        <v>2073.6201416841691</v>
      </c>
      <c r="AI114" s="207">
        <f>INDEX($A$102:$H$115,MATCH($L114,$B$102:$B$115,0),MATCH($AA$101,$A$102:$H$102,0))*고양시_Modal_split!K$3 * 0.01</f>
        <v>10.218233286879938</v>
      </c>
      <c r="AJ114" s="207">
        <f>INDEX($A$102:$H$115,MATCH($L114,$B$102:$B$115,0),MATCH($AA$101,$A$102:$H$102,0))*고양시_Modal_split!L$3 * 0.01</f>
        <v>205.72709684251612</v>
      </c>
      <c r="AK114" s="207">
        <f>INDEX($A$102:$H$115,MATCH($L114,$B$102:$B$115,0),MATCH($AA$101,$A$102:$H$102,0))*고양시_Modal_split!M$3 * 0.01</f>
        <v>15.66795770654924</v>
      </c>
      <c r="AL114" s="207">
        <f>INDEX($A$102:$H$115,MATCH($L114,$B$102:$B$115,0),MATCH($AA$101,$A$102:$H$102,0))*고양시_Modal_split!N$3 * 0.01</f>
        <v>6.8121555245866263</v>
      </c>
      <c r="AM114" s="207">
        <f>INDEX($A$102:$H$115,MATCH($L114,$B$102:$B$115,0),MATCH($AA$101,$A$102:$H$102,0))*고양시_Modal_split!O$3 * 0.01</f>
        <v>12.261879944255925</v>
      </c>
      <c r="AN114" s="207">
        <f>INDEX($A$102:$H$115,MATCH($L114,$B$102:$B$115,0),MATCH($AA$101,$A$102:$H$102,0))*고양시_Modal_split!P$3 * 0.01</f>
        <v>6812.1555245866257</v>
      </c>
      <c r="AO114" s="303">
        <f>INDEX($A$102:$H$115,MATCH($L114,$B$102:$B$115,0),MATCH($AO$101,$A$102:$H$102,0))*고양시_Modal_split!C$3 * 0.01</f>
        <v>0.84546335720352772</v>
      </c>
      <c r="AP114" s="303">
        <f>INDEX($A$102:$H$115,MATCH($L114,$B$102:$B$115,0),MATCH($AO$101,$A$102:$H$102,0))*고양시_Modal_split!D$3 * 0.01</f>
        <v>142.00764889029253</v>
      </c>
      <c r="AQ114" s="303">
        <f>INDEX($A$102:$H$115,MATCH($L114,$B$102:$B$115,0),MATCH($AO$101,$A$102:$H$102,0))*고양시_Modal_split!E$3 * 0.01</f>
        <v>17.181023223171689</v>
      </c>
      <c r="AR114" s="303">
        <f>INDEX($A$102:$H$115,MATCH($L114,$B$102:$B$115,0),MATCH($AO$101,$A$102:$H$102,0))*고양시_Modal_split!F$3 * 0.01</f>
        <v>27.688924948415533</v>
      </c>
      <c r="AS114" s="303">
        <f>INDEX($A$102:$H$115,MATCH($L114,$B$102:$B$115,0),MATCH($AO$101,$A$102:$H$102,0))*고양시_Modal_split!G$3 * 0.01</f>
        <v>2.7779510308115909</v>
      </c>
      <c r="AT114" s="303">
        <f>INDEX($A$102:$H$115,MATCH($L114,$B$102:$B$115,0),MATCH($AO$101,$A$102:$H$102,0))*고양시_Modal_split!H$3 * 0.01</f>
        <v>3.0195119900125991E-2</v>
      </c>
      <c r="AU114" s="303">
        <f>INDEX($A$102:$H$115,MATCH($L114,$B$102:$B$115,0),MATCH($AO$101,$A$102:$H$102,0))*고양시_Modal_split!I$3 * 0.01</f>
        <v>8.3942433322350247</v>
      </c>
      <c r="AV114" s="303">
        <f>INDEX($A$102:$H$115,MATCH($L114,$B$102:$B$115,0),MATCH($AO$101,$A$102:$H$102,0))*고양시_Modal_split!J$3 * 0.01</f>
        <v>91.913944975983526</v>
      </c>
      <c r="AW114" s="303">
        <f>INDEX($A$102:$H$115,MATCH($L114,$B$102:$B$115,0),MATCH($AO$101,$A$102:$H$102,0))*고양시_Modal_split!K$3 * 0.01</f>
        <v>0.45292679850188983</v>
      </c>
      <c r="AX114" s="303">
        <f>INDEX($A$102:$H$115,MATCH($L114,$B$102:$B$115,0),MATCH($AO$101,$A$102:$H$102,0))*고양시_Modal_split!L$3 * 0.01</f>
        <v>9.1189262098380492</v>
      </c>
      <c r="AY114" s="303">
        <f>INDEX($A$102:$H$115,MATCH($L114,$B$102:$B$115,0),MATCH($AO$101,$A$102:$H$102,0))*고양시_Modal_split!M$3 * 0.01</f>
        <v>0.69448775770289772</v>
      </c>
      <c r="AZ114" s="303">
        <f>INDEX($A$102:$H$115,MATCH($L114,$B$102:$B$115,0),MATCH($AO$101,$A$102:$H$102,0))*고양시_Modal_split!N$3 * 0.01</f>
        <v>0.30195119900125994</v>
      </c>
      <c r="BA114" s="207">
        <f>INDEX($A$102:$H$115,MATCH($L114,$B$102:$B$115,0),MATCH($AO$101,$A$102:$H$102,0))*고양시_Modal_split!O$3 * 0.01</f>
        <v>0.54351215820226784</v>
      </c>
      <c r="BB114" s="207">
        <f>INDEX($A$102:$H$115,MATCH($L114,$B$102:$B$115,0),MATCH($AO$101,$A$102:$H$102,0))*고양시_Modal_split!P$3 * 0.01</f>
        <v>301.95119900125991</v>
      </c>
      <c r="BC114" s="207">
        <f>INDEX($A$102:$H$115,MATCH($L114,$B$102:$B$115,0),MATCH($BC$101,$A$102:$H$102,0))*고양시_Modal_split!C$3 * 0.01</f>
        <v>2.292781985636694E-3</v>
      </c>
      <c r="BD114" s="207">
        <f>INDEX($A$102:$H$115,MATCH($L114,$B$102:$B$115,0),MATCH($BC$101,$A$102:$H$102,0))*고양시_Modal_split!D$3 * 0.01</f>
        <v>0.38510548851604903</v>
      </c>
      <c r="BE114" s="207">
        <f>INDEX($A$102:$H$115,MATCH($L114,$B$102:$B$115,0),MATCH($BC$101,$A$102:$H$102,0))*고양시_Modal_split!E$3 * 0.01</f>
        <v>4.6592605350974238E-2</v>
      </c>
      <c r="BF114" s="207">
        <f>INDEX($A$102:$H$115,MATCH($L114,$B$102:$B$115,0),MATCH($BC$101,$A$102:$H$102,0))*고양시_Modal_split!F$3 * 0.01</f>
        <v>7.5088610029601738E-2</v>
      </c>
      <c r="BG114" s="207">
        <f>INDEX($A$102:$H$115,MATCH($L114,$B$102:$B$115,0),MATCH($BC$101,$A$102:$H$102,0))*고양시_Modal_split!G$3 * 0.01</f>
        <v>7.533426524234851E-3</v>
      </c>
      <c r="BH114" s="207">
        <f>INDEX($A$102:$H$115,MATCH($L114,$B$102:$B$115,0),MATCH($BC$101,$A$102:$H$102,0))*고양시_Modal_split!H$3 * 0.01</f>
        <v>8.1885070915596223E-5</v>
      </c>
      <c r="BI114" s="207">
        <f>INDEX($A$102:$H$115,MATCH($L114,$B$102:$B$115,0),MATCH($BC$101,$A$102:$H$102,0))*고양시_Modal_split!I$3 * 0.01</f>
        <v>2.2764049714535748E-2</v>
      </c>
      <c r="BJ114" s="207">
        <f>INDEX($A$102:$H$115,MATCH($L114,$B$102:$B$115,0),MATCH($BC$101,$A$102:$H$102,0))*고양시_Modal_split!J$3 * 0.01</f>
        <v>0.24925815586707489</v>
      </c>
      <c r="BK114" s="207">
        <f>INDEX($A$102:$H$115,MATCH($L114,$B$102:$B$115,0),MATCH($BC$101,$A$102:$H$102,0))*고양시_Modal_split!K$3 * 0.01</f>
        <v>1.2282760637339432E-3</v>
      </c>
      <c r="BL114" s="207">
        <f>INDEX($A$102:$H$115,MATCH($L114,$B$102:$B$115,0),MATCH($BC$101,$A$102:$H$102,0))*고양시_Modal_split!L$3 * 0.01</f>
        <v>2.472929141651006E-2</v>
      </c>
      <c r="BM114" s="207">
        <f>INDEX($A$102:$H$115,MATCH($L114,$B$102:$B$115,0),MATCH($BC$101,$A$102:$H$102,0))*고양시_Modal_split!M$3 * 0.01</f>
        <v>1.8833566310587128E-3</v>
      </c>
      <c r="BN114" s="207">
        <f>INDEX($A$102:$H$115,MATCH($L114,$B$102:$B$115,0),MATCH($BC$101,$A$102:$H$102,0))*고양시_Modal_split!N$3 * 0.01</f>
        <v>8.1885070915596212E-4</v>
      </c>
      <c r="BO114" s="207">
        <f>INDEX($A$102:$H$115,MATCH($L114,$B$102:$B$115,0),MATCH($BC$101,$A$102:$H$102,0))*고양시_Modal_split!O$3 * 0.01</f>
        <v>1.4739312764807319E-3</v>
      </c>
      <c r="BP114" s="207">
        <f>INDEX($A$102:$H$115,MATCH($L114,$B$102:$B$115,0),MATCH($BC$101,$A$102:$H$102,0))*고양시_Modal_split!P$3 * 0.01</f>
        <v>0.81885070915596214</v>
      </c>
      <c r="BQ114" s="207">
        <f>INDEX($A$102:$H$115,MATCH($L114,$B$102:$B$115,0),MATCH($BQ$101,$A$102:$H$102,0))*고양시_Modal_split!C$3 * 0.01</f>
        <v>6.4962156259705996E-3</v>
      </c>
      <c r="BR114" s="207">
        <f>INDEX($A$102:$H$115,MATCH($L114,$B$102:$B$115,0),MATCH($BQ$101,$A$102:$H$102,0))*고양시_Modal_split!D$3 * 0.01</f>
        <v>1.0911322174621334</v>
      </c>
      <c r="BS114" s="207">
        <f>INDEX($A$102:$H$115,MATCH($L114,$B$102:$B$115,0),MATCH($BQ$101,$A$102:$H$102,0))*고양시_Modal_split!E$3 * 0.01</f>
        <v>0.13201238182775968</v>
      </c>
      <c r="BT114" s="207">
        <f>INDEX($A$102:$H$115,MATCH($L114,$B$102:$B$115,0),MATCH($BQ$101,$A$102:$H$102,0))*고양시_Modal_split!F$3 * 0.01</f>
        <v>0.21275106175053715</v>
      </c>
      <c r="BU114" s="207">
        <f>INDEX($A$102:$H$115,MATCH($L114,$B$102:$B$115,0),MATCH($BQ$101,$A$102:$H$102,0))*고양시_Modal_split!G$3 * 0.01</f>
        <v>2.1344708485331969E-2</v>
      </c>
      <c r="BV114" s="207">
        <f>INDEX($A$102:$H$115,MATCH($L114,$B$102:$B$115,0),MATCH($BQ$101,$A$102:$H$102,0))*고양시_Modal_split!H$3 * 0.01</f>
        <v>2.3200770092752146E-4</v>
      </c>
      <c r="BW114" s="207">
        <f>INDEX($A$102:$H$115,MATCH($L114,$B$102:$B$115,0),MATCH($BQ$101,$A$102:$H$102,0))*고양시_Modal_split!I$3 * 0.01</f>
        <v>6.4498140857850952E-2</v>
      </c>
      <c r="BX114" s="207">
        <f>INDEX($A$102:$H$115,MATCH($L114,$B$102:$B$115,0),MATCH($BQ$101,$A$102:$H$102,0))*고양시_Modal_split!J$3 * 0.01</f>
        <v>0.70623144162337526</v>
      </c>
      <c r="BY114" s="207">
        <f>INDEX($A$102:$H$115,MATCH($L114,$B$102:$B$115,0),MATCH($BQ$101,$A$102:$H$102,0))*고양시_Modal_split!K$3 * 0.01</f>
        <v>3.4801155139128214E-3</v>
      </c>
      <c r="BZ114" s="207">
        <f>INDEX($A$102:$H$115,MATCH($L114,$B$102:$B$115,0),MATCH($BQ$101,$A$102:$H$102,0))*고양시_Modal_split!L$3 * 0.01</f>
        <v>7.006632568011148E-2</v>
      </c>
      <c r="CA114" s="207">
        <f>INDEX($A$102:$H$115,MATCH($L114,$B$102:$B$115,0),MATCH($BQ$101,$A$102:$H$102,0))*고양시_Modal_split!M$3 * 0.01</f>
        <v>5.3361771213329924E-3</v>
      </c>
      <c r="CB114" s="207">
        <f>INDEX($A$102:$H$115,MATCH($L114,$B$102:$B$115,0),MATCH($BQ$101,$A$102:$H$102,0))*고양시_Modal_split!N$3 * 0.01</f>
        <v>2.3200770092752145E-3</v>
      </c>
      <c r="CC114" s="207">
        <f>INDEX($A$102:$H$115,MATCH($L114,$B$102:$B$115,0),MATCH($BQ$101,$A$102:$H$102,0))*고양시_Modal_split!O$3 * 0.01</f>
        <v>4.176138616695386E-3</v>
      </c>
      <c r="CD114" s="207">
        <f>INDEX($A$102:$H$115,MATCH($L114,$B$102:$B$115,0),MATCH($BQ$101,$A$102:$H$102,0))*고양시_Modal_split!P$3 * 0.01</f>
        <v>2.3200770092752143</v>
      </c>
      <c r="CE114" s="304">
        <f t="shared" si="52"/>
        <v>22.381182417957998</v>
      </c>
      <c r="CF114" s="304">
        <f t="shared" si="47"/>
        <v>3759.2393182734454</v>
      </c>
      <c r="CG114" s="304">
        <f t="shared" si="47"/>
        <v>454.81759985064633</v>
      </c>
      <c r="CH114" s="304">
        <f t="shared" si="47"/>
        <v>732.98372418812437</v>
      </c>
      <c r="CI114" s="304">
        <f t="shared" si="47"/>
        <v>73.538170801861995</v>
      </c>
      <c r="CJ114" s="304">
        <f t="shared" si="47"/>
        <v>0.7993279434985</v>
      </c>
      <c r="CK114" s="304">
        <f t="shared" si="47"/>
        <v>222.21316829258296</v>
      </c>
      <c r="CL114" s="304">
        <f t="shared" si="47"/>
        <v>2433.1542600094344</v>
      </c>
      <c r="CM114" s="304">
        <f t="shared" si="47"/>
        <v>11.9899191524775</v>
      </c>
      <c r="CN114" s="304">
        <f t="shared" si="47"/>
        <v>241.39703893654698</v>
      </c>
      <c r="CO114" s="304">
        <f t="shared" si="47"/>
        <v>18.384542700465499</v>
      </c>
      <c r="CP114" s="304">
        <f t="shared" si="47"/>
        <v>7.9932794349850003</v>
      </c>
      <c r="CQ114" s="304">
        <f t="shared" si="47"/>
        <v>14.387902982972998</v>
      </c>
      <c r="CR114" s="304">
        <f t="shared" si="47"/>
        <v>7993.2794349849992</v>
      </c>
      <c r="CS114" s="305">
        <f t="shared" si="53"/>
        <v>0</v>
      </c>
      <c r="CV114" s="267"/>
      <c r="CW114" s="267" t="s">
        <v>47</v>
      </c>
      <c r="CX114" s="267">
        <f>INDEX($M$101:$Z$115,MATCH($CW114,$L$101:$L$115,0),MATCH(CX$102,$M$102:$Z$102,0))/INDEX(고양시_재차인원!$D$4:$H$35,MATCH("고양시",고양시_재차인원!$B$4:$B$35,0),MATCH($CX$101,고양시_재차인원!$D$4:$H$4,0))</f>
        <v>367.85597184293238</v>
      </c>
      <c r="CY114" s="267">
        <f>INDEX($M$101:$Z$115,MATCH($CW114,$L$101:$L$115,0),MATCH(CY$102,$M$102:$Z$102,0))/INDEX(고양시_재차인원!$K$4:$O$20,MATCH("경기도",고양시_재차인원!$K$4:$K$20,0),MATCH(CY$102,고양시_재차인원!$K$4:$O$4,0))</f>
        <v>3.0428405129513105E-3</v>
      </c>
      <c r="CZ114" s="267">
        <f>INDEX($M$101:$Z$115,MATCH($CW114,$L$101:$L$115,0),MATCH(CZ$102,$M$102:$Z$102,0))/INDEX(고양시_재차인원!$K$4:$O$20,MATCH("경기도",고양시_재차인원!$K$4:$K$20,0),MATCH(CZ$102,고양시_재차인원!$K$4:$O$4,0))</f>
        <v>0.84590966260046407</v>
      </c>
      <c r="DA114" s="267">
        <f>INDEX($M$101:$Z$115,MATCH($CW114,$L$101:$L$115,0),MATCH(DA$102,$M$102:$Z$102,0))/INDEX(고양시_재차인원!$D$4:$H$35,MATCH("고양시",고양시_재차인원!$B$4:$B$35,0),MATCH($CX$101,고양시_재차인원!$D$4:$H$4,0))</f>
        <v>23.621625238478746</v>
      </c>
      <c r="DB114" s="267">
        <f>INDEX($AA$101:$AN$115,MATCH($CW114,$L$101:$L$115,0),MATCH(DB$102,$AA$102:$AN$102,0))/INDEX(고양시_재차인원!$D$4:$H$35,MATCH("고양시",고양시_재차인원!$B$4:$B$35,0),MATCH($DB$101,고양시_재차인원!$D$4:$H$4,0))</f>
        <v>2272.1679029880074</v>
      </c>
      <c r="DC114" s="267">
        <f>INDEX($AA$101:$AN$115,MATCH($CW114,$L$101:$L$115,0),MATCH(DC$102,$AA$102:$AN$102,0))/INDEX(고양시_재차인원!$K$4:$O$20,MATCH("경기도",고양시_재차인원!$K$4:$K$20,0),MATCH(DC$102,고양시_재차인원!$K$4:$O$4,0))</f>
        <v>2.3661533603982723E-2</v>
      </c>
      <c r="DD114" s="267">
        <f>INDEX($AA$101:$AN$115,MATCH($CW114,$L$101:$L$115,0),MATCH(DD$102,$AA$102:$AN$102,0))/INDEX(고양시_재차인원!$K$4:$O$20,MATCH("경기도",고양시_재차인원!$K$4:$K$20,0),MATCH(DD$102,고양시_재차인원!$K$4:$O$4,0))</f>
        <v>6.5779063419071955</v>
      </c>
      <c r="DE114" s="267">
        <f>INDEX($AA$101:$AN$115,MATCH($CW114,$L$101:$L$115,0),MATCH(DE$102,$AA$102:$AN$102,0))/INDEX(고양시_재차인원!$D$4:$H$35,MATCH("고양시",고양시_재차인원!$B$4:$B$35,0),MATCH($DB$101,고양시_재차인원!$D$4:$H$4,0))</f>
        <v>145.90574244150079</v>
      </c>
      <c r="DF114" s="267">
        <f>INDEX($AO$101:$BB$115,MATCH($CW114,$L$101:$L$115,0),MATCH(DF$102,$AO$102:$BB$102,0))/INDEX(고양시_재차인원!$D$4:$H$35,MATCH("고양시",고양시_재차인원!$B$4:$B$35,0),MATCH($DF$101,고양시_재차인원!$D$4:$H$4,0))</f>
        <v>109.23665299253271</v>
      </c>
      <c r="DG114" s="267">
        <f>INDEX($AO$101:$BB$115,MATCH($CW114,$L$101:$L$115,0),MATCH(DG$102,$AO$102:$BB$102,0))/INDEX(고양시_재차인원!$K$4:$O$20,MATCH("경기도",고양시_재차인원!$K$4:$K$20,0),MATCH(DG$102,고양시_재차인원!$K$4:$O$4,0))</f>
        <v>1.0488058318904477E-3</v>
      </c>
      <c r="DH114" s="267">
        <f>INDEX($AO$101:$BB$115,MATCH($CW114,$L$101:$L$115,0),MATCH(DH$102,$AO$102:$BB$102,0))/INDEX(고양시_재차인원!$K$4:$O$20,MATCH("경기도",고양시_재차인원!$K$4:$K$20,0),MATCH(DH$102,고양시_재차인원!$K$4:$O$4,0))</f>
        <v>0.29156802126554449</v>
      </c>
      <c r="DI114" s="267">
        <f>INDEX($AO$101:$BB$115,MATCH($CW114,$L$101:$L$115,0),MATCH(DI$102,$AO$102:$BB$102,0))/INDEX(고양시_재차인원!$D$4:$H$35,MATCH("고양시",고양시_재차인원!$B$4:$B$35,0),MATCH($DF$101,고양시_재차인원!$D$4:$H$4,0))</f>
        <v>7.0145586229523449</v>
      </c>
      <c r="DJ114" s="267">
        <f>INDEX($BC$101:$BP$115,MATCH($CW114,$L$101:$L$115,0),MATCH(DJ$102,$BC$102:$BP$102,0))/INDEX(고양시_재차인원!$D$4:$H$35,MATCH("고양시",고양시_재차인원!$B$4:$B$35,0),MATCH($DJ$101,고양시_재차인원!$D$4:$H$4,0))</f>
        <v>0.28316580037944777</v>
      </c>
      <c r="DK114" s="267">
        <f>INDEX($BC$101:$BP$115,MATCH($CW114,$L$101:$L$115,0),MATCH(DK$102,$BC$102:$BP$102,0))/INDEX(고양시_재차인원!$K$4:$O$20,MATCH("경기도",고양시_재차인원!$K$4:$K$20,0),MATCH(DK$102,고양시_재차인원!$K$4:$O$4,0))</f>
        <v>2.8442192051266491E-6</v>
      </c>
      <c r="DL114" s="267">
        <f>INDEX($BC$101:$BP$115,MATCH($CW114,$L$101:$L$115,0),MATCH(DL$102,$BC$102:$BP$102,0))/INDEX(고양시_재차인원!$K$4:$O$20,MATCH("경기도",고양시_재차인원!$K$4:$K$20,0),MATCH(DL$102,고양시_재차인원!$K$4:$O$4,0))</f>
        <v>7.9069293902520835E-4</v>
      </c>
      <c r="DM114" s="267">
        <f>INDEX($BC$101:$BP$115,MATCH($CW114,$L$101:$L$115,0),MATCH(DM$102,$BC$102:$BP$102,0))/INDEX(고양시_재차인원!$D$4:$H$35,MATCH("고양시",고양시_재차인원!$B$4:$B$35,0),MATCH($DJ$101,고양시_재차인원!$D$4:$H$4,0))</f>
        <v>1.8183302512139749E-2</v>
      </c>
      <c r="DN114" s="267">
        <f>INDEX($BQ$101:$CD$115,MATCH($CW114,$L$101:$L$115,0),MATCH(DN$102,$BQ$102:$CD$102,0))/INDEX(고양시_재차인원!$D$4:$H$35,MATCH("고양시",고양시_재차인원!$B$4:$B$35,0),MATCH($DN$101,고양시_재차인원!$D$4:$H$4,0))</f>
        <v>0.8659779503667725</v>
      </c>
      <c r="DO114" s="267">
        <f>INDEX($BQ$101:$CD$115,MATCH($CW114,$L$101:$L$115,0),MATCH(DO$102,$BQ$102:$CD$102,0))/INDEX(고양시_재차인원!$K$4:$O$20,MATCH("경기도",고양시_재차인원!$K$4:$K$20,0),MATCH(DO$102,고양시_재차인원!$K$4:$O$4,0))</f>
        <v>8.0586210811921316E-6</v>
      </c>
      <c r="DP114" s="267">
        <f>INDEX($BQ$101:$CD$115,MATCH($CW114,$L$101:$L$115,0),MATCH(DP$102,$BQ$102:$CD$102,0))/INDEX(고양시_재차인원!$K$4:$O$20,MATCH("경기도",고양시_재차인원!$K$4:$K$20,0),MATCH(DP$102,고양시_재차인원!$K$4:$O$4,0))</f>
        <v>2.2402966605714119E-3</v>
      </c>
      <c r="DQ114" s="267">
        <f>INDEX($BQ$101:$CD$115,MATCH($CW114,$L$101:$L$115,0),MATCH(DQ$102,$BQ$102:$CD$102,0))/INDEX(고양시_재차인원!$D$4:$H$35,MATCH("고양시",고양시_재차인원!$B$4:$B$35,0),MATCH($DN$101,고양시_재차인원!$D$4:$H$4,0))</f>
        <v>5.5608194984215459E-2</v>
      </c>
      <c r="DR114" s="270">
        <f t="shared" si="54"/>
        <v>2750.4096715742185</v>
      </c>
      <c r="DS114" s="270">
        <f t="shared" si="48"/>
        <v>2.7764082789110803E-2</v>
      </c>
      <c r="DT114" s="270">
        <f t="shared" si="48"/>
        <v>7.7184150153728011</v>
      </c>
      <c r="DU114" s="270">
        <f t="shared" si="48"/>
        <v>176.61571780042823</v>
      </c>
      <c r="DW114" s="278"/>
      <c r="DX114" s="278" t="s">
        <v>47</v>
      </c>
      <c r="DY114" s="281">
        <f t="shared" si="55"/>
        <v>2927.0253893746467</v>
      </c>
      <c r="DZ114" s="281">
        <f t="shared" si="56"/>
        <v>7.7461790981619121</v>
      </c>
      <c r="EB114" s="278"/>
      <c r="EC114" s="278" t="s">
        <v>47</v>
      </c>
      <c r="ED114" s="281">
        <f t="shared" si="57"/>
        <v>2927.0253893746467</v>
      </c>
      <c r="EE114" s="281">
        <f t="shared" si="49"/>
        <v>7.7461790981619121</v>
      </c>
      <c r="EL114" s="306" t="s">
        <v>668</v>
      </c>
      <c r="EM114" s="306" t="s">
        <v>372</v>
      </c>
      <c r="EN114" s="306">
        <v>20007.53</v>
      </c>
      <c r="EO114" s="306">
        <v>0.10773467325274116</v>
      </c>
      <c r="EP114" s="307">
        <v>849112</v>
      </c>
      <c r="EQ114" s="308">
        <f t="shared" si="58"/>
        <v>488.4026557448542</v>
      </c>
      <c r="ER114" s="308">
        <f t="shared" si="59"/>
        <v>1.2925253252503708</v>
      </c>
      <c r="ET114" s="420" t="s">
        <v>668</v>
      </c>
      <c r="EU114" s="420" t="s">
        <v>372</v>
      </c>
      <c r="EV114" s="420">
        <v>20007.53</v>
      </c>
      <c r="EW114" s="420">
        <v>0.10773467325274116</v>
      </c>
      <c r="EX114" s="421">
        <v>849112</v>
      </c>
      <c r="EY114" s="422">
        <f t="shared" si="60"/>
        <v>474.48318005612589</v>
      </c>
      <c r="EZ114" s="422">
        <f t="shared" si="50"/>
        <v>1.2556883534807353</v>
      </c>
      <c r="FA114">
        <v>0</v>
      </c>
      <c r="FD114" s="306" t="s">
        <v>668</v>
      </c>
      <c r="FE114" s="306" t="s">
        <v>372</v>
      </c>
      <c r="FF114" s="306">
        <v>20007.53</v>
      </c>
      <c r="FG114" s="306">
        <v>0.10773467325274116</v>
      </c>
      <c r="FH114" s="307">
        <v>849112</v>
      </c>
      <c r="FI114" s="308">
        <f t="shared" si="61"/>
        <v>474.48318005612589</v>
      </c>
      <c r="FJ114" s="308">
        <f t="shared" si="51"/>
        <v>1.2556883534807353</v>
      </c>
      <c r="FL114" s="101"/>
      <c r="FM114" s="101"/>
      <c r="FN114" s="101"/>
      <c r="FO114" s="101"/>
      <c r="FP114" s="374"/>
      <c r="FQ114" s="404"/>
      <c r="FR114" s="404"/>
    </row>
    <row r="115" spans="1:174">
      <c r="A115" s="205"/>
      <c r="B115" s="205" t="s">
        <v>677</v>
      </c>
      <c r="C115" s="400">
        <f>$AB73*KTDB_TripDistribution_2025!L$12 * (1+KTDB_발생량도착량_증가율!$C$8*2)</f>
        <v>5612.9516656837204</v>
      </c>
      <c r="D115" s="400">
        <f>$AB73*KTDB_TripDistribution_2025!M$12 * (1+KTDB_발생량도착량_증가율!$C$8*2)</f>
        <v>43647.060662502532</v>
      </c>
      <c r="E115" s="400">
        <f>$AB73*KTDB_TripDistribution_2025!N$12 * (1+KTDB_발생량도착량_증가율!$C$8*2)</f>
        <v>1934.6713756543465</v>
      </c>
      <c r="F115" s="400">
        <f>$AB73*KTDB_TripDistribution_2025!O$12 * (1+KTDB_발생량도착량_증가율!$C$8*2)</f>
        <v>5.246566442452484</v>
      </c>
      <c r="G115" s="400">
        <f>$AB73*KTDB_TripDistribution_2025!P$12 * (1+KTDB_발생량도착량_증가율!$C$8*2)</f>
        <v>14.86527158694863</v>
      </c>
      <c r="H115" s="400">
        <f>$AB73*KTDB_TripDistribution_2025!Q$12 * (1+KTDB_발생량도착량_증가율!$C$8*2)</f>
        <v>51214.79554187</v>
      </c>
      <c r="I115" t="b">
        <f>H115=$AB$73 * (1+KTDB_발생량도착량_증가율!$C$8*2)</f>
        <v>1</v>
      </c>
      <c r="J115" s="230">
        <f>CR115</f>
        <v>51214.79554187</v>
      </c>
      <c r="K115" s="206"/>
      <c r="L115" s="206" t="s">
        <v>26</v>
      </c>
      <c r="M115" s="206">
        <f>INDEX($A$102:$H$115,MATCH($L115,$B$102:$B$115,0),MATCH($M$101,$A$102:$H$102,0))*고양시_Modal_split!C$3 * 0.01</f>
        <v>15.716264663914416</v>
      </c>
      <c r="N115" s="206">
        <f>INDEX($A$102:$H$115,MATCH($L115,$B$102:$B$115,0),MATCH($M$101,$A$102:$H$102,0))*고양시_Modal_split!D$3 * 0.01</f>
        <v>2639.7711683710536</v>
      </c>
      <c r="O115" s="206">
        <f>INDEX($A$102:$H$115,MATCH($L115,$B$102:$B$115,0),MATCH($M$101,$A$102:$H$102,0))*고양시_Modal_split!E$3 * 0.01</f>
        <v>319.37694977740369</v>
      </c>
      <c r="P115" s="206">
        <f>INDEX($A$102:$H$115,MATCH($L115,$B$102:$B$115,0),MATCH($M$101,$A$102:$H$102,0))*고양시_Modal_split!F$3 * 0.01</f>
        <v>514.70766774319713</v>
      </c>
      <c r="Q115" s="206">
        <f>INDEX($A$102:$H$115,MATCH($L115,$B$102:$B$115,0),MATCH($M$101,$A$102:$H$102,0))*고양시_Modal_split!G$3 * 0.01</f>
        <v>51.639155324290222</v>
      </c>
      <c r="R115" s="206">
        <f>INDEX($A$102:$H$115,MATCH($L115,$B$102:$B$115,0),MATCH($M$101,$A$102:$H$102,0))*고양시_Modal_split!H$3 * 0.01</f>
        <v>0.56129516656837208</v>
      </c>
      <c r="S115" s="206">
        <f>INDEX($A$102:$H$115,MATCH($L115,$B$102:$B$115,0),MATCH($M$101,$A$102:$H$102,0))*고양시_Modal_split!I$3 * 0.01</f>
        <v>156.04005630600741</v>
      </c>
      <c r="T115" s="206">
        <f>INDEX($A$102:$H$115,MATCH($L115,$B$102:$B$115,0),MATCH($M$101,$A$102:$H$102,0))*고양시_Modal_split!J$3 * 0.01</f>
        <v>1708.5824870341246</v>
      </c>
      <c r="U115" s="206">
        <f>INDEX($A$102:$H$115,MATCH($L115,$B$102:$B$115,0),MATCH($M$101,$A$102:$H$102,0))*고양시_Modal_split!K$3 * 0.01</f>
        <v>8.4194274985255806</v>
      </c>
      <c r="V115" s="206">
        <f>INDEX($A$102:$H$115,MATCH($L115,$B$102:$B$115,0),MATCH($M$101,$A$102:$H$102,0))*고양시_Modal_split!L$3 * 0.01</f>
        <v>169.51114030364835</v>
      </c>
      <c r="W115" s="206">
        <f>INDEX($A$102:$H$115,MATCH($L115,$B$102:$B$115,0),MATCH($M$101,$A$102:$H$102,0))*고양시_Modal_split!M$3 * 0.01</f>
        <v>12.909788831072555</v>
      </c>
      <c r="X115" s="206">
        <f>INDEX($A$102:$H$115,MATCH($L115,$B$102:$B$115,0),MATCH($M$101,$A$102:$H$102,0))*고양시_Modal_split!N$3 * 0.01</f>
        <v>5.6129516656837213</v>
      </c>
      <c r="Y115" s="206">
        <f>INDEX($A$102:$H$115,MATCH($L115,$B$102:$B$115,0),MATCH($M$101,$A$102:$H$102,0))*고양시_Modal_split!O$3 * 0.01</f>
        <v>10.103312998230697</v>
      </c>
      <c r="Z115" s="209">
        <f>INDEX($A$102:$H$115,MATCH($L115,$B$102:$B$115,0),MATCH($M$101,$A$102:$H$102,0))*고양시_Modal_split!P$3 * 0.01</f>
        <v>5612.9516656837204</v>
      </c>
      <c r="AA115" s="207">
        <f>INDEX($A$102:$H$115,MATCH($L115,$B$102:$B$115,0),MATCH($AA$101,$A$102:$H$102,0))*고양시_Modal_split!C$3 * 0.01</f>
        <v>122.21176985500708</v>
      </c>
      <c r="AB115" s="207">
        <f>INDEX($A$102:$H$115,MATCH($L115,$B$102:$B$115,0),MATCH($AA$101,$A$102:$H$102,0))*고양시_Modal_split!D$3 * 0.01</f>
        <v>20527.212629574944</v>
      </c>
      <c r="AC115" s="207">
        <f>INDEX($A$102:$H$115,MATCH($L115,$B$102:$B$115,0),MATCH($AA$101,$A$102:$H$102,0))*고양시_Modal_split!E$3 * 0.01</f>
        <v>2483.517751696394</v>
      </c>
      <c r="AD115" s="207">
        <f>INDEX($A$102:$H$115,MATCH($L115,$B$102:$B$115,0),MATCH($AA$101,$A$102:$H$102,0))*고양시_Modal_split!F$3 * 0.01</f>
        <v>4002.4354627514822</v>
      </c>
      <c r="AE115" s="207">
        <f>INDEX($A$102:$H$115,MATCH($L115,$B$102:$B$115,0),MATCH($AA$101,$A$102:$H$102,0))*고양시_Modal_split!G$3 * 0.01</f>
        <v>401.55295809502331</v>
      </c>
      <c r="AF115" s="207">
        <f>INDEX($A$102:$H$115,MATCH($L115,$B$102:$B$115,0),MATCH($AA$101,$A$102:$H$102,0))*고양시_Modal_split!H$3 * 0.01</f>
        <v>4.3647060662502533</v>
      </c>
      <c r="AG115" s="207">
        <f>INDEX($A$102:$H$115,MATCH($L115,$B$102:$B$115,0),MATCH($AA$101,$A$102:$H$102,0))*고양시_Modal_split!I$3 * 0.01</f>
        <v>1213.3882864175703</v>
      </c>
      <c r="AH115" s="207">
        <f>INDEX($A$102:$H$115,MATCH($L115,$B$102:$B$115,0),MATCH($AA$101,$A$102:$H$102,0))*고양시_Modal_split!J$3 * 0.01</f>
        <v>13286.165265665772</v>
      </c>
      <c r="AI115" s="207">
        <f>INDEX($A$102:$H$115,MATCH($L115,$B$102:$B$115,0),MATCH($AA$101,$A$102:$H$102,0))*고양시_Modal_split!K$3 * 0.01</f>
        <v>65.470590993753802</v>
      </c>
      <c r="AJ115" s="207">
        <f>INDEX($A$102:$H$115,MATCH($L115,$B$102:$B$115,0),MATCH($AA$101,$A$102:$H$102,0))*고양시_Modal_split!L$3 * 0.01</f>
        <v>1318.1412320075767</v>
      </c>
      <c r="AK115" s="207">
        <f>INDEX($A$102:$H$115,MATCH($L115,$B$102:$B$115,0),MATCH($AA$101,$A$102:$H$102,0))*고양시_Modal_split!M$3 * 0.01</f>
        <v>100.38823952375583</v>
      </c>
      <c r="AL115" s="207">
        <f>INDEX($A$102:$H$115,MATCH($L115,$B$102:$B$115,0),MATCH($AA$101,$A$102:$H$102,0))*고양시_Modal_split!N$3 * 0.01</f>
        <v>43.64706066250254</v>
      </c>
      <c r="AM115" s="207">
        <f>INDEX($A$102:$H$115,MATCH($L115,$B$102:$B$115,0),MATCH($AA$101,$A$102:$H$102,0))*고양시_Modal_split!O$3 * 0.01</f>
        <v>78.564709192504552</v>
      </c>
      <c r="AN115" s="207">
        <f>INDEX($A$102:$H$115,MATCH($L115,$B$102:$B$115,0),MATCH($AA$101,$A$102:$H$102,0))*고양시_Modal_split!P$3 * 0.01</f>
        <v>43647.060662502532</v>
      </c>
      <c r="AO115" s="303">
        <f>INDEX($A$102:$H$115,MATCH($L115,$B$102:$B$115,0),MATCH($AO$101,$A$102:$H$102,0))*고양시_Modal_split!C$3 * 0.01</f>
        <v>5.4170798518321703</v>
      </c>
      <c r="AP115" s="303">
        <f>INDEX($A$102:$H$115,MATCH($L115,$B$102:$B$115,0),MATCH($AO$101,$A$102:$H$102,0))*고양시_Modal_split!D$3 * 0.01</f>
        <v>909.87594797023928</v>
      </c>
      <c r="AQ115" s="303">
        <f>INDEX($A$102:$H$115,MATCH($L115,$B$102:$B$115,0),MATCH($AO$101,$A$102:$H$102,0))*고양시_Modal_split!E$3 * 0.01</f>
        <v>110.0828012747323</v>
      </c>
      <c r="AR115" s="303">
        <f>INDEX($A$102:$H$115,MATCH($L115,$B$102:$B$115,0),MATCH($AO$101,$A$102:$H$102,0))*고양시_Modal_split!F$3 * 0.01</f>
        <v>177.40936514750359</v>
      </c>
      <c r="AS115" s="303">
        <f>INDEX($A$102:$H$115,MATCH($L115,$B$102:$B$115,0),MATCH($AO$101,$A$102:$H$102,0))*고양시_Modal_split!G$3 * 0.01</f>
        <v>17.798976656019985</v>
      </c>
      <c r="AT115" s="303">
        <f>INDEX($A$102:$H$115,MATCH($L115,$B$102:$B$115,0),MATCH($AO$101,$A$102:$H$102,0))*고양시_Modal_split!H$3 * 0.01</f>
        <v>0.19346713756543465</v>
      </c>
      <c r="AU115" s="303">
        <f>INDEX($A$102:$H$115,MATCH($L115,$B$102:$B$115,0),MATCH($AO$101,$A$102:$H$102,0))*고양시_Modal_split!I$3 * 0.01</f>
        <v>53.783864243190827</v>
      </c>
      <c r="AV115" s="303">
        <f>INDEX($A$102:$H$115,MATCH($L115,$B$102:$B$115,0),MATCH($AO$101,$A$102:$H$102,0))*고양시_Modal_split!J$3 * 0.01</f>
        <v>588.91396674918315</v>
      </c>
      <c r="AW115" s="303">
        <f>INDEX($A$102:$H$115,MATCH($L115,$B$102:$B$115,0),MATCH($AO$101,$A$102:$H$102,0))*고양시_Modal_split!K$3 * 0.01</f>
        <v>2.9020070634815198</v>
      </c>
      <c r="AX115" s="303">
        <f>INDEX($A$102:$H$115,MATCH($L115,$B$102:$B$115,0),MATCH($AO$101,$A$102:$H$102,0))*고양시_Modal_split!L$3 * 0.01</f>
        <v>58.427075544761266</v>
      </c>
      <c r="AY115" s="303">
        <f>INDEX($A$102:$H$115,MATCH($L115,$B$102:$B$115,0),MATCH($AO$101,$A$102:$H$102,0))*고양시_Modal_split!M$3 * 0.01</f>
        <v>4.4497441640049962</v>
      </c>
      <c r="AZ115" s="303">
        <f>INDEX($A$102:$H$115,MATCH($L115,$B$102:$B$115,0),MATCH($AO$101,$A$102:$H$102,0))*고양시_Modal_split!N$3 * 0.01</f>
        <v>1.9346713756543465</v>
      </c>
      <c r="BA115" s="207">
        <f>INDEX($A$102:$H$115,MATCH($L115,$B$102:$B$115,0),MATCH($AO$101,$A$102:$H$102,0))*고양시_Modal_split!O$3 * 0.01</f>
        <v>3.4824084761778238</v>
      </c>
      <c r="BB115" s="207">
        <f>INDEX($A$102:$H$115,MATCH($L115,$B$102:$B$115,0),MATCH($AO$101,$A$102:$H$102,0))*고양시_Modal_split!P$3 * 0.01</f>
        <v>1934.6713756543465</v>
      </c>
      <c r="BC115" s="207">
        <f>INDEX($A$102:$H$115,MATCH($L115,$B$102:$B$115,0),MATCH($BC$101,$A$102:$H$102,0))*고양시_Modal_split!C$3 * 0.01</f>
        <v>1.4690386038866955E-2</v>
      </c>
      <c r="BD115" s="207">
        <f>INDEX($A$102:$H$115,MATCH($L115,$B$102:$B$115,0),MATCH($BC$101,$A$102:$H$102,0))*고양시_Modal_split!D$3 * 0.01</f>
        <v>2.4674601978854036</v>
      </c>
      <c r="BE115" s="207">
        <f>INDEX($A$102:$H$115,MATCH($L115,$B$102:$B$115,0),MATCH($BC$101,$A$102:$H$102,0))*고양시_Modal_split!E$3 * 0.01</f>
        <v>0.29852963057554632</v>
      </c>
      <c r="BF115" s="207">
        <f>INDEX($A$102:$H$115,MATCH($L115,$B$102:$B$115,0),MATCH($BC$101,$A$102:$H$102,0))*고양시_Modal_split!F$3 * 0.01</f>
        <v>0.48111014277289282</v>
      </c>
      <c r="BG115" s="207">
        <f>INDEX($A$102:$H$115,MATCH($L115,$B$102:$B$115,0),MATCH($BC$101,$A$102:$H$102,0))*고양시_Modal_split!G$3 * 0.01</f>
        <v>4.8268411270562847E-2</v>
      </c>
      <c r="BH115" s="207">
        <f>INDEX($A$102:$H$115,MATCH($L115,$B$102:$B$115,0),MATCH($BC$101,$A$102:$H$102,0))*고양시_Modal_split!H$3 * 0.01</f>
        <v>5.2465664424524838E-4</v>
      </c>
      <c r="BI115" s="207">
        <f>INDEX($A$102:$H$115,MATCH($L115,$B$102:$B$115,0),MATCH($BC$101,$A$102:$H$102,0))*고양시_Modal_split!I$3 * 0.01</f>
        <v>0.14585454710017906</v>
      </c>
      <c r="BJ115" s="207">
        <f>INDEX($A$102:$H$115,MATCH($L115,$B$102:$B$115,0),MATCH($BC$101,$A$102:$H$102,0))*고양시_Modal_split!J$3 * 0.01</f>
        <v>1.5970548250825363</v>
      </c>
      <c r="BK115" s="207">
        <f>INDEX($A$102:$H$115,MATCH($L115,$B$102:$B$115,0),MATCH($BC$101,$A$102:$H$102,0))*고양시_Modal_split!K$3 * 0.01</f>
        <v>7.8698496636787265E-3</v>
      </c>
      <c r="BL115" s="207">
        <f>INDEX($A$102:$H$115,MATCH($L115,$B$102:$B$115,0),MATCH($BC$101,$A$102:$H$102,0))*고양시_Modal_split!L$3 * 0.01</f>
        <v>0.15844630656206501</v>
      </c>
      <c r="BM115" s="207">
        <f>INDEX($A$102:$H$115,MATCH($L115,$B$102:$B$115,0),MATCH($BC$101,$A$102:$H$102,0))*고양시_Modal_split!M$3 * 0.01</f>
        <v>1.2067102817640712E-2</v>
      </c>
      <c r="BN115" s="207">
        <f>INDEX($A$102:$H$115,MATCH($L115,$B$102:$B$115,0),MATCH($BC$101,$A$102:$H$102,0))*고양시_Modal_split!N$3 * 0.01</f>
        <v>5.2465664424524838E-3</v>
      </c>
      <c r="BO115" s="207">
        <f>INDEX($A$102:$H$115,MATCH($L115,$B$102:$B$115,0),MATCH($BC$101,$A$102:$H$102,0))*고양시_Modal_split!O$3 * 0.01</f>
        <v>9.4438195964144708E-3</v>
      </c>
      <c r="BP115" s="207">
        <f>INDEX($A$102:$H$115,MATCH($L115,$B$102:$B$115,0),MATCH($BC$101,$A$102:$H$102,0))*고양시_Modal_split!P$3 * 0.01</f>
        <v>5.2465664424524849</v>
      </c>
      <c r="BQ115" s="207">
        <f>INDEX($A$102:$H$115,MATCH($L115,$B$102:$B$115,0),MATCH($BQ$101,$A$102:$H$102,0))*고양시_Modal_split!C$3 * 0.01</f>
        <v>4.1622760443456162E-2</v>
      </c>
      <c r="BR115" s="207">
        <f>INDEX($A$102:$H$115,MATCH($L115,$B$102:$B$115,0),MATCH($BQ$101,$A$102:$H$102,0))*고양시_Modal_split!D$3 * 0.01</f>
        <v>6.991137227341941</v>
      </c>
      <c r="BS115" s="207">
        <f>INDEX($A$102:$H$115,MATCH($L115,$B$102:$B$115,0),MATCH($BQ$101,$A$102:$H$102,0))*고양시_Modal_split!E$3 * 0.01</f>
        <v>0.84583395329737698</v>
      </c>
      <c r="BT115" s="207">
        <f>INDEX($A$102:$H$115,MATCH($L115,$B$102:$B$115,0),MATCH($BQ$101,$A$102:$H$102,0))*고양시_Modal_split!F$3 * 0.01</f>
        <v>1.3631454045231894</v>
      </c>
      <c r="BU115" s="207">
        <f>INDEX($A$102:$H$115,MATCH($L115,$B$102:$B$115,0),MATCH($BQ$101,$A$102:$H$102,0))*고양시_Modal_split!G$3 * 0.01</f>
        <v>0.13676049859992739</v>
      </c>
      <c r="BV115" s="207">
        <f>INDEX($A$102:$H$115,MATCH($L115,$B$102:$B$115,0),MATCH($BQ$101,$A$102:$H$102,0))*고양시_Modal_split!H$3 * 0.01</f>
        <v>1.4865271586948631E-3</v>
      </c>
      <c r="BW115" s="207">
        <f>INDEX($A$102:$H$115,MATCH($L115,$B$102:$B$115,0),MATCH($BQ$101,$A$102:$H$102,0))*고양시_Modal_split!I$3 * 0.01</f>
        <v>0.41325455011717188</v>
      </c>
      <c r="BX115" s="207">
        <f>INDEX($A$102:$H$115,MATCH($L115,$B$102:$B$115,0),MATCH($BQ$101,$A$102:$H$102,0))*고양시_Modal_split!J$3 * 0.01</f>
        <v>4.5249886710671632</v>
      </c>
      <c r="BY115" s="207">
        <f>INDEX($A$102:$H$115,MATCH($L115,$B$102:$B$115,0),MATCH($BQ$101,$A$102:$H$102,0))*고양시_Modal_split!K$3 * 0.01</f>
        <v>2.2297907380422945E-2</v>
      </c>
      <c r="BZ115" s="207">
        <f>INDEX($A$102:$H$115,MATCH($L115,$B$102:$B$115,0),MATCH($BQ$101,$A$102:$H$102,0))*고양시_Modal_split!L$3 * 0.01</f>
        <v>0.44893120192584862</v>
      </c>
      <c r="CA115" s="207">
        <f>INDEX($A$102:$H$115,MATCH($L115,$B$102:$B$115,0),MATCH($BQ$101,$A$102:$H$102,0))*고양시_Modal_split!M$3 * 0.01</f>
        <v>3.4190124649981848E-2</v>
      </c>
      <c r="CB115" s="207">
        <f>INDEX($A$102:$H$115,MATCH($L115,$B$102:$B$115,0),MATCH($BQ$101,$A$102:$H$102,0))*고양시_Modal_split!N$3 * 0.01</f>
        <v>1.4865271586948631E-2</v>
      </c>
      <c r="CC115" s="207">
        <f>INDEX($A$102:$H$115,MATCH($L115,$B$102:$B$115,0),MATCH($BQ$101,$A$102:$H$102,0))*고양시_Modal_split!O$3 * 0.01</f>
        <v>2.6757488856507531E-2</v>
      </c>
      <c r="CD115" s="207">
        <f>INDEX($A$102:$H$115,MATCH($L115,$B$102:$B$115,0),MATCH($BQ$101,$A$102:$H$102,0))*고양시_Modal_split!P$3 * 0.01</f>
        <v>14.86527158694863</v>
      </c>
      <c r="CE115" s="304">
        <f t="shared" si="52"/>
        <v>143.40142751723599</v>
      </c>
      <c r="CF115" s="304">
        <f t="shared" si="47"/>
        <v>24086.318343341463</v>
      </c>
      <c r="CG115" s="304">
        <f t="shared" si="47"/>
        <v>2914.121866332403</v>
      </c>
      <c r="CH115" s="304">
        <f t="shared" si="47"/>
        <v>4696.3967511894789</v>
      </c>
      <c r="CI115" s="304">
        <f t="shared" si="47"/>
        <v>471.17611898520403</v>
      </c>
      <c r="CJ115" s="304">
        <f t="shared" si="47"/>
        <v>5.1214795541870002</v>
      </c>
      <c r="CK115" s="304">
        <f t="shared" si="47"/>
        <v>1423.7713160639862</v>
      </c>
      <c r="CL115" s="304">
        <f t="shared" si="47"/>
        <v>15589.78376294523</v>
      </c>
      <c r="CM115" s="304">
        <f t="shared" si="47"/>
        <v>76.822193312804998</v>
      </c>
      <c r="CN115" s="304">
        <f t="shared" si="47"/>
        <v>1546.6868253644743</v>
      </c>
      <c r="CO115" s="304">
        <f t="shared" si="47"/>
        <v>117.79402974630101</v>
      </c>
      <c r="CP115" s="304">
        <f t="shared" si="47"/>
        <v>51.214795541870011</v>
      </c>
      <c r="CQ115" s="304">
        <f t="shared" si="47"/>
        <v>92.186631975365984</v>
      </c>
      <c r="CR115" s="304">
        <f t="shared" si="47"/>
        <v>51214.79554187</v>
      </c>
      <c r="CS115" s="305">
        <f t="shared" si="53"/>
        <v>0</v>
      </c>
      <c r="CV115" s="267"/>
      <c r="CW115" s="267" t="s">
        <v>26</v>
      </c>
      <c r="CX115" s="267">
        <f>INDEX($M$101:$Z$115,MATCH($CW115,$L$101:$L$115,0),MATCH(CX$102,$M$102:$Z$102,0))/INDEX(고양시_재차인원!$D$4:$H$35,MATCH("고양시",고양시_재차인원!$B$4:$B$35,0),MATCH($CX$101,고양시_재차인원!$D$4:$H$4,0))</f>
        <v>2356.9385431884407</v>
      </c>
      <c r="CY115" s="267">
        <f>INDEX($M$101:$Z$115,MATCH($CW115,$L$101:$L$115,0),MATCH(CY$102,$M$102:$Z$102,0))/INDEX(고양시_재차인원!$K$4:$O$20,MATCH("경기도",고양시_재차인원!$K$4:$K$20,0),MATCH(CY$102,고양시_재차인원!$K$4:$O$4,0))</f>
        <v>1.9496185014531854E-2</v>
      </c>
      <c r="CZ115" s="267">
        <f>INDEX($M$101:$Z$115,MATCH($CW115,$L$101:$L$115,0),MATCH(CZ$102,$M$102:$Z$102,0))/INDEX(고양시_재차인원!$K$4:$O$20,MATCH("경기도",고양시_재차인원!$K$4:$K$20,0),MATCH(CZ$102,고양시_재차인원!$K$4:$O$4,0))</f>
        <v>5.419939434039855</v>
      </c>
      <c r="DA115" s="267">
        <f>INDEX($M$101:$Z$115,MATCH($CW115,$L$101:$L$115,0),MATCH(DA$102,$M$102:$Z$102,0))/INDEX(고양시_재차인원!$D$4:$H$35,MATCH("고양시",고양시_재차인원!$B$4:$B$35,0),MATCH($CX$101,고양시_재차인원!$D$4:$H$4,0))</f>
        <v>151.34923241397172</v>
      </c>
      <c r="DB115" s="267">
        <f>INDEX($AA$101:$AN$115,MATCH($CW115,$L$101:$L$115,0),MATCH(DB$102,$AA$102:$AN$102,0))/INDEX(고양시_재차인원!$D$4:$H$35,MATCH("고양시",고양시_재차인원!$B$4:$B$35,0),MATCH($DB$101,고양시_재차인원!$D$4:$H$4,0))</f>
        <v>14558.306829485777</v>
      </c>
      <c r="DC115" s="267">
        <f>INDEX($AA$101:$AN$115,MATCH($CW115,$L$101:$L$115,0),MATCH(DC$102,$AA$102:$AN$102,0))/INDEX(고양시_재차인원!$K$4:$O$20,MATCH("경기도",고양시_재차인원!$K$4:$K$20,0),MATCH(DC$102,고양시_재차인원!$K$4:$O$4,0))</f>
        <v>0.15160493456930368</v>
      </c>
      <c r="DD115" s="267">
        <f>INDEX($AA$101:$AN$115,MATCH($CW115,$L$101:$L$115,0),MATCH(DD$102,$AA$102:$AN$102,0))/INDEX(고양시_재차인원!$K$4:$O$20,MATCH("경기도",고양시_재차인원!$K$4:$K$20,0),MATCH(DD$102,고양시_재차인원!$K$4:$O$4,0))</f>
        <v>42.146171810266424</v>
      </c>
      <c r="DE115" s="267">
        <f>INDEX($AA$101:$AN$115,MATCH($CW115,$L$101:$L$115,0),MATCH(DE$102,$AA$102:$AN$102,0))/INDEX(고양시_재차인원!$D$4:$H$35,MATCH("고양시",고양시_재차인원!$B$4:$B$35,0),MATCH($DB$101,고양시_재차인원!$D$4:$H$4,0))</f>
        <v>934.85193759402614</v>
      </c>
      <c r="DF115" s="267">
        <f>INDEX($AO$101:$BB$115,MATCH($CW115,$L$101:$L$115,0),MATCH(DF$102,$AO$102:$BB$102,0))/INDEX(고양시_재차인원!$D$4:$H$35,MATCH("고양시",고양시_재차인원!$B$4:$B$35,0),MATCH($DF$101,고양시_재차인원!$D$4:$H$4,0))</f>
        <v>699.90457536172255</v>
      </c>
      <c r="DG115" s="267">
        <f>INDEX($AO$101:$BB$115,MATCH($CW115,$L$101:$L$115,0),MATCH(DG$102,$AO$102:$BB$102,0))/INDEX(고양시_재차인원!$K$4:$O$20,MATCH("경기도",고양시_재차인원!$K$4:$K$20,0),MATCH(DG$102,고양시_재차인원!$K$4:$O$4,0))</f>
        <v>6.719942256527776E-3</v>
      </c>
      <c r="DH115" s="267">
        <f>INDEX($AO$101:$BB$115,MATCH($CW115,$L$101:$L$115,0),MATCH(DH$102,$AO$102:$BB$102,0))/INDEX(고양시_재차인원!$K$4:$O$20,MATCH("경기도",고양시_재차인원!$K$4:$K$20,0),MATCH(DH$102,고양시_재차인원!$K$4:$O$4,0))</f>
        <v>1.8681439473147214</v>
      </c>
      <c r="DI115" s="267">
        <f>INDEX($AO$101:$BB$115,MATCH($CW115,$L$101:$L$115,0),MATCH(DI$102,$AO$102:$BB$102,0))/INDEX(고양시_재차인원!$D$4:$H$35,MATCH("고양시",고양시_재차인원!$B$4:$B$35,0),MATCH($DF$101,고양시_재차인원!$D$4:$H$4,0))</f>
        <v>44.94390426520097</v>
      </c>
      <c r="DJ115" s="267">
        <f>INDEX($BC$101:$BP$115,MATCH($CW115,$L$101:$L$115,0),MATCH(DJ$102,$BC$102:$BP$102,0))/INDEX(고양시_재차인원!$D$4:$H$35,MATCH("고양시",고양시_재차인원!$B$4:$B$35,0),MATCH($DJ$101,고양시_재차인원!$D$4:$H$4,0))</f>
        <v>1.8143089690333849</v>
      </c>
      <c r="DK115" s="267">
        <f>INDEX($BC$101:$BP$115,MATCH($CW115,$L$101:$L$115,0),MATCH(DK$102,$BC$102:$BP$102,0))/INDEX(고양시_재차인원!$K$4:$O$20,MATCH("경기도",고양시_재차인원!$K$4:$K$20,0),MATCH(DK$102,고양시_재차인원!$K$4:$O$4,0))</f>
        <v>1.8223572221092336E-5</v>
      </c>
      <c r="DL115" s="267">
        <f>INDEX($BC$101:$BP$115,MATCH($CW115,$L$101:$L$115,0),MATCH(DL$102,$BC$102:$BP$102,0))/INDEX(고양시_재차인원!$K$4:$O$20,MATCH("경기도",고양시_재차인원!$K$4:$K$20,0),MATCH(DL$102,고양시_재차인원!$K$4:$O$4,0))</f>
        <v>5.0661530774636703E-3</v>
      </c>
      <c r="DM115" s="267">
        <f>INDEX($BC$101:$BP$115,MATCH($CW115,$L$101:$L$115,0),MATCH(DM$102,$BC$102:$BP$102,0))/INDEX(고양시_재차인원!$D$4:$H$35,MATCH("고양시",고양시_재차인원!$B$4:$B$35,0),MATCH($DJ$101,고양시_재차인원!$D$4:$H$4,0))</f>
        <v>0.11650463717798898</v>
      </c>
      <c r="DN115" s="267">
        <f>INDEX($BQ$101:$CD$115,MATCH($CW115,$L$101:$L$115,0),MATCH(DN$102,$BQ$102:$CD$102,0))/INDEX(고양시_재차인원!$D$4:$H$35,MATCH("고양시",고양시_재차인원!$B$4:$B$35,0),MATCH($DN$101,고양시_재차인원!$D$4:$H$4,0))</f>
        <v>5.5485216090015408</v>
      </c>
      <c r="DO115" s="267">
        <f>INDEX($BQ$101:$CD$115,MATCH($CW115,$L$101:$L$115,0),MATCH(DO$102,$BQ$102:$CD$102,0))/INDEX(고양시_재차인원!$K$4:$O$20,MATCH("경기도",고양시_재차인원!$K$4:$K$20,0),MATCH(DO$102,고양시_재차인원!$K$4:$O$4,0))</f>
        <v>5.1633454626428034E-5</v>
      </c>
      <c r="DP115" s="267">
        <f>INDEX($BQ$101:$CD$115,MATCH($CW115,$L$101:$L$115,0),MATCH(DP$102,$BQ$102:$CD$102,0))/INDEX(고양시_재차인원!$K$4:$O$20,MATCH("경기도",고양시_재차인원!$K$4:$K$20,0),MATCH(DP$102,고양시_재차인원!$K$4:$O$4,0))</f>
        <v>1.4354100386146991E-2</v>
      </c>
      <c r="DQ115" s="267">
        <f>INDEX($BQ$101:$CD$115,MATCH($CW115,$L$101:$L$115,0),MATCH(DQ$102,$BQ$102:$CD$102,0))/INDEX(고양시_재차인원!$D$4:$H$35,MATCH("고양시",고양시_재차인원!$B$4:$B$35,0),MATCH($DN$101,고양시_재차인원!$D$4:$H$4,0))</f>
        <v>0.35629460470305446</v>
      </c>
      <c r="DR115" s="270">
        <f t="shared" si="54"/>
        <v>17622.512778613975</v>
      </c>
      <c r="DS115" s="270">
        <f t="shared" si="48"/>
        <v>0.17789091886721081</v>
      </c>
      <c r="DT115" s="270">
        <f t="shared" si="48"/>
        <v>49.453675445084613</v>
      </c>
      <c r="DU115" s="270">
        <f t="shared" si="48"/>
        <v>1131.6178735150797</v>
      </c>
      <c r="DW115" s="278"/>
      <c r="DX115" s="278" t="s">
        <v>26</v>
      </c>
      <c r="DY115" s="281">
        <f t="shared" si="55"/>
        <v>18754.130652129053</v>
      </c>
      <c r="DZ115" s="281">
        <f t="shared" si="56"/>
        <v>49.631566363951826</v>
      </c>
      <c r="EC115" s="278" t="s">
        <v>26</v>
      </c>
      <c r="ED115" s="281">
        <f t="shared" si="57"/>
        <v>18754.130652129053</v>
      </c>
      <c r="EE115" s="281">
        <f t="shared" si="49"/>
        <v>49.631566363951826</v>
      </c>
      <c r="EL115" s="322" t="s">
        <v>682</v>
      </c>
      <c r="EM115" s="322" t="s">
        <v>373</v>
      </c>
      <c r="EN115" s="322">
        <v>39402.4712</v>
      </c>
      <c r="EO115" s="322">
        <v>0.21217073572212786</v>
      </c>
      <c r="EP115" s="529">
        <v>849113</v>
      </c>
      <c r="EQ115" s="324">
        <f t="shared" si="58"/>
        <v>961.85144178167604</v>
      </c>
      <c r="ER115" s="324">
        <f t="shared" si="59"/>
        <v>2.5454762233743184</v>
      </c>
      <c r="ET115" s="420" t="s">
        <v>682</v>
      </c>
      <c r="EU115" s="420" t="s">
        <v>373</v>
      </c>
      <c r="EV115" s="412"/>
      <c r="EW115" s="412"/>
      <c r="EX115" s="421">
        <v>849113</v>
      </c>
      <c r="EY115" s="423">
        <f t="shared" si="60"/>
        <v>934.43867569089832</v>
      </c>
      <c r="EZ115" s="423">
        <f t="shared" si="50"/>
        <v>2.4729301510081503</v>
      </c>
      <c r="FA115">
        <v>0</v>
      </c>
      <c r="FD115" s="322" t="s">
        <v>370</v>
      </c>
      <c r="FE115" s="322" t="s">
        <v>373</v>
      </c>
      <c r="FF115" s="75"/>
      <c r="FG115" s="75"/>
      <c r="FH115" s="323">
        <v>849113</v>
      </c>
      <c r="FI115" s="327">
        <f t="shared" si="61"/>
        <v>934.43867569089832</v>
      </c>
      <c r="FJ115" s="327">
        <f t="shared" si="51"/>
        <v>2.4729301510081503</v>
      </c>
      <c r="FL115" s="101"/>
      <c r="FM115" s="101"/>
      <c r="FN115" s="34"/>
      <c r="FO115" s="34"/>
      <c r="FP115" s="374"/>
      <c r="FQ115" s="405"/>
      <c r="FR115" s="405"/>
    </row>
    <row r="116" spans="1:174">
      <c r="Z116">
        <f>Z115/H115</f>
        <v>0.10959629158521045</v>
      </c>
      <c r="ED116" s="230">
        <f>SUM(ED103:ED114)-ED115</f>
        <v>0</v>
      </c>
      <c r="EE116" s="230" t="b">
        <f>SUM(EE103:EE114)=EE115</f>
        <v>1</v>
      </c>
      <c r="EL116" s="75" t="s">
        <v>670</v>
      </c>
      <c r="EM116" s="325" t="s">
        <v>683</v>
      </c>
      <c r="EN116" s="75">
        <v>39402.4712</v>
      </c>
      <c r="EO116" s="75">
        <v>0.19507846659237171</v>
      </c>
      <c r="EP116" s="530"/>
      <c r="EQ116" s="324">
        <f t="shared" si="58"/>
        <v>664.75038027224934</v>
      </c>
      <c r="ER116" s="324">
        <f t="shared" si="59"/>
        <v>1.7592179144917539</v>
      </c>
      <c r="ET116" s="420" t="s">
        <v>670</v>
      </c>
      <c r="EU116" s="420" t="s">
        <v>570</v>
      </c>
      <c r="EV116" s="420">
        <v>70189.171300000002</v>
      </c>
      <c r="EW116" s="420">
        <v>0.34750094325538916</v>
      </c>
      <c r="EX116" s="421">
        <v>849114</v>
      </c>
      <c r="EY116" s="423">
        <f t="shared" si="60"/>
        <v>645.80499443449025</v>
      </c>
      <c r="EZ116" s="423">
        <f t="shared" si="50"/>
        <v>1.7090802039287389</v>
      </c>
      <c r="FA116">
        <v>0</v>
      </c>
      <c r="FD116" s="306" t="s">
        <v>670</v>
      </c>
      <c r="FE116" s="306" t="s">
        <v>570</v>
      </c>
      <c r="FF116" s="306">
        <v>70189.171300000002</v>
      </c>
      <c r="FG116" s="306">
        <v>0.34750094325538916</v>
      </c>
      <c r="FH116" s="307">
        <v>849114</v>
      </c>
      <c r="FI116" s="326">
        <f t="shared" si="61"/>
        <v>645.80499443449025</v>
      </c>
      <c r="FJ116" s="326">
        <f t="shared" si="51"/>
        <v>1.7090802039287389</v>
      </c>
      <c r="FL116" s="101"/>
      <c r="FM116" s="101"/>
      <c r="FN116" s="101"/>
      <c r="FO116" s="101"/>
      <c r="FP116" s="374"/>
      <c r="FQ116" s="405"/>
      <c r="FR116" s="405"/>
    </row>
    <row r="117" spans="1:174">
      <c r="EL117" s="306" t="s">
        <v>670</v>
      </c>
      <c r="EM117" s="306" t="s">
        <v>570</v>
      </c>
      <c r="EN117" s="306">
        <v>70189.171300000002</v>
      </c>
      <c r="EO117" s="306">
        <v>0.34750094325538916</v>
      </c>
      <c r="EP117" s="308">
        <v>849114</v>
      </c>
      <c r="EQ117" s="308">
        <f t="shared" si="58"/>
        <v>1184.1459911445618</v>
      </c>
      <c r="ER117" s="308">
        <f t="shared" si="59"/>
        <v>3.1337640455985021</v>
      </c>
      <c r="ET117" s="420" t="s">
        <v>670</v>
      </c>
      <c r="EU117" s="420" t="s">
        <v>79</v>
      </c>
      <c r="EV117" s="420">
        <v>51949.691800000001</v>
      </c>
      <c r="EW117" s="420">
        <v>0.2571987468717522</v>
      </c>
      <c r="EX117" s="421">
        <v>849115</v>
      </c>
      <c r="EY117" s="423">
        <f t="shared" si="60"/>
        <v>1150.3978303969418</v>
      </c>
      <c r="EZ117" s="423">
        <f t="shared" si="50"/>
        <v>3.0444517702989446</v>
      </c>
      <c r="FA117">
        <v>0</v>
      </c>
      <c r="FD117" s="306" t="s">
        <v>670</v>
      </c>
      <c r="FE117" s="306" t="s">
        <v>79</v>
      </c>
      <c r="FF117" s="306">
        <v>51949.691800000001</v>
      </c>
      <c r="FG117" s="306">
        <v>0.2571987468717522</v>
      </c>
      <c r="FH117" s="307">
        <v>849115</v>
      </c>
      <c r="FI117" s="326">
        <f t="shared" si="61"/>
        <v>1150.3978303969418</v>
      </c>
      <c r="FJ117" s="326">
        <f t="shared" si="51"/>
        <v>3.0444517702989446</v>
      </c>
      <c r="FL117" s="101"/>
      <c r="FM117" s="101"/>
      <c r="FN117" s="101"/>
      <c r="FO117" s="101"/>
      <c r="FP117" s="374"/>
      <c r="FQ117" s="405"/>
      <c r="FR117" s="405"/>
    </row>
    <row r="118" spans="1:174">
      <c r="EL118" s="306" t="s">
        <v>670</v>
      </c>
      <c r="EM118" s="306" t="s">
        <v>79</v>
      </c>
      <c r="EN118" s="306">
        <v>51949.691800000001</v>
      </c>
      <c r="EO118" s="306">
        <v>0.2571987468717522</v>
      </c>
      <c r="EP118" s="308">
        <v>849115</v>
      </c>
      <c r="EQ118" s="308">
        <f t="shared" si="58"/>
        <v>876.43176499742356</v>
      </c>
      <c r="ER118" s="308">
        <f t="shared" si="59"/>
        <v>2.3194186984618712</v>
      </c>
      <c r="ET118" s="420" t="s">
        <v>670</v>
      </c>
      <c r="EU118" s="420" t="s">
        <v>223</v>
      </c>
      <c r="EV118" s="420">
        <v>40441.3442</v>
      </c>
      <c r="EW118" s="420">
        <v>0.20022184328048706</v>
      </c>
      <c r="EX118" s="421">
        <v>849116</v>
      </c>
      <c r="EY118" s="423">
        <f t="shared" si="60"/>
        <v>851.45345969499704</v>
      </c>
      <c r="EZ118" s="423">
        <f t="shared" si="50"/>
        <v>2.2533152655557078</v>
      </c>
      <c r="FA118">
        <v>0</v>
      </c>
      <c r="FD118" s="306" t="s">
        <v>670</v>
      </c>
      <c r="FE118" s="306" t="s">
        <v>223</v>
      </c>
      <c r="FF118" s="306">
        <v>40441.3442</v>
      </c>
      <c r="FG118" s="306">
        <v>0.20022184328048706</v>
      </c>
      <c r="FH118" s="307">
        <v>849116</v>
      </c>
      <c r="FI118" s="326">
        <f t="shared" si="61"/>
        <v>851.45345969499704</v>
      </c>
      <c r="FJ118" s="326">
        <f t="shared" si="51"/>
        <v>2.2533152655557078</v>
      </c>
      <c r="FL118" s="101"/>
      <c r="FM118" s="101"/>
      <c r="FN118" s="101"/>
      <c r="FO118" s="101"/>
      <c r="FP118" s="374"/>
      <c r="FQ118" s="405"/>
      <c r="FR118" s="405"/>
    </row>
    <row r="119" spans="1:174">
      <c r="EL119" s="306" t="s">
        <v>670</v>
      </c>
      <c r="EM119" s="306" t="s">
        <v>223</v>
      </c>
      <c r="EN119" s="306">
        <v>40441.3442</v>
      </c>
      <c r="EO119" s="306">
        <v>0.20022184328048706</v>
      </c>
      <c r="EP119" s="308">
        <v>849116</v>
      </c>
      <c r="EQ119" s="308">
        <f t="shared" si="58"/>
        <v>682.27697697475685</v>
      </c>
      <c r="ER119" s="308">
        <f t="shared" si="59"/>
        <v>1.8056008934476977</v>
      </c>
      <c r="ET119" s="420" t="s">
        <v>671</v>
      </c>
      <c r="EU119" s="420" t="s">
        <v>571</v>
      </c>
      <c r="EV119" s="420">
        <v>53247.161800000002</v>
      </c>
      <c r="EW119" s="420">
        <v>1</v>
      </c>
      <c r="EX119" s="421">
        <v>849117</v>
      </c>
      <c r="EY119" s="423">
        <f t="shared" si="60"/>
        <v>662.83208313097634</v>
      </c>
      <c r="EZ119" s="423">
        <f t="shared" si="50"/>
        <v>1.7541412679844384</v>
      </c>
      <c r="FA119">
        <v>0</v>
      </c>
      <c r="FD119" s="322" t="s">
        <v>671</v>
      </c>
      <c r="FE119" s="322" t="s">
        <v>571</v>
      </c>
      <c r="FF119" s="322">
        <v>53247.161800000002</v>
      </c>
      <c r="FG119" s="322">
        <v>1</v>
      </c>
      <c r="FH119" s="323">
        <v>849117</v>
      </c>
      <c r="FI119" s="327">
        <f t="shared" si="61"/>
        <v>662.83208313097634</v>
      </c>
      <c r="FJ119" s="327">
        <f t="shared" si="51"/>
        <v>1.7541412679844384</v>
      </c>
      <c r="FL119" s="101"/>
      <c r="FM119" s="101"/>
      <c r="FN119" s="101"/>
      <c r="FO119" s="101"/>
      <c r="FP119" s="374"/>
      <c r="FQ119" s="405"/>
      <c r="FR119" s="405"/>
    </row>
    <row r="120" spans="1:174">
      <c r="EL120" s="322" t="s">
        <v>671</v>
      </c>
      <c r="EM120" s="322" t="s">
        <v>571</v>
      </c>
      <c r="EN120" s="322">
        <v>53247.161800000002</v>
      </c>
      <c r="EO120" s="322">
        <v>1</v>
      </c>
      <c r="EP120" s="323">
        <v>849117</v>
      </c>
      <c r="EQ120" s="324">
        <f>ED107+ED106</f>
        <v>1506.9621008609081</v>
      </c>
      <c r="ER120" s="324">
        <f>EE107+EE106</f>
        <v>3.988075528755453</v>
      </c>
      <c r="ET120" s="420" t="s">
        <v>13</v>
      </c>
      <c r="EU120" s="420" t="s">
        <v>576</v>
      </c>
      <c r="EV120" s="420">
        <v>8507.8255000000008</v>
      </c>
      <c r="EW120" s="420">
        <v>0.38150552170840318</v>
      </c>
      <c r="EX120" s="421">
        <v>849118</v>
      </c>
      <c r="EY120" s="423">
        <f t="shared" si="60"/>
        <v>1464.0136809863723</v>
      </c>
      <c r="EZ120" s="423">
        <f t="shared" si="50"/>
        <v>3.8744153761859228</v>
      </c>
      <c r="FA120">
        <v>0</v>
      </c>
      <c r="FD120" s="306" t="s">
        <v>13</v>
      </c>
      <c r="FE120" s="306" t="s">
        <v>576</v>
      </c>
      <c r="FF120" s="306">
        <v>8507.8255000000008</v>
      </c>
      <c r="FG120" s="306">
        <v>0.38150552170840318</v>
      </c>
      <c r="FH120" s="307">
        <v>849118</v>
      </c>
      <c r="FI120" s="326">
        <f t="shared" si="61"/>
        <v>1464.0136809863723</v>
      </c>
      <c r="FJ120" s="326">
        <f t="shared" si="51"/>
        <v>3.8744153761859228</v>
      </c>
      <c r="FL120" s="101"/>
      <c r="FM120" s="101"/>
      <c r="FN120" s="101"/>
      <c r="FO120" s="101"/>
      <c r="FP120" s="374"/>
      <c r="FQ120" s="405"/>
      <c r="FR120" s="405"/>
    </row>
    <row r="121" spans="1:174">
      <c r="EL121" s="306" t="s">
        <v>13</v>
      </c>
      <c r="EM121" s="306" t="s">
        <v>576</v>
      </c>
      <c r="EN121" s="306">
        <v>8507.8255000000008</v>
      </c>
      <c r="EO121" s="306">
        <v>0.38150552170840318</v>
      </c>
      <c r="EP121" s="308">
        <v>849118</v>
      </c>
      <c r="EQ121" s="308">
        <f t="shared" si="58"/>
        <v>122.10504601669521</v>
      </c>
      <c r="ER121" s="308">
        <f t="shared" si="59"/>
        <v>0.3231429281987544</v>
      </c>
      <c r="ET121" s="420" t="s">
        <v>13</v>
      </c>
      <c r="EU121" s="420" t="s">
        <v>577</v>
      </c>
      <c r="EV121" s="420">
        <v>5790.3404</v>
      </c>
      <c r="EW121" s="420">
        <v>0.25964881804066664</v>
      </c>
      <c r="EX121" s="421">
        <v>849119</v>
      </c>
      <c r="EY121" s="423">
        <f t="shared" si="60"/>
        <v>118.6250522052194</v>
      </c>
      <c r="EZ121" s="423">
        <f t="shared" si="50"/>
        <v>0.31393335474508993</v>
      </c>
      <c r="FA121">
        <v>0</v>
      </c>
      <c r="FD121" s="306" t="s">
        <v>13</v>
      </c>
      <c r="FE121" s="306" t="s">
        <v>577</v>
      </c>
      <c r="FF121" s="306">
        <v>5790.3404</v>
      </c>
      <c r="FG121" s="306">
        <v>0.25964881804066664</v>
      </c>
      <c r="FH121" s="307">
        <v>849119</v>
      </c>
      <c r="FI121" s="326">
        <f t="shared" si="61"/>
        <v>118.6250522052194</v>
      </c>
      <c r="FJ121" s="326">
        <f t="shared" si="51"/>
        <v>0.31393335474508993</v>
      </c>
      <c r="FL121" s="101"/>
      <c r="FM121" s="101"/>
      <c r="FN121" s="101"/>
      <c r="FO121" s="101"/>
      <c r="FP121" s="374"/>
      <c r="FQ121" s="405"/>
      <c r="FR121" s="405"/>
    </row>
    <row r="122" spans="1:174">
      <c r="EL122" s="306" t="s">
        <v>13</v>
      </c>
      <c r="EM122" s="306" t="s">
        <v>577</v>
      </c>
      <c r="EN122" s="306">
        <v>5790.3404</v>
      </c>
      <c r="EO122" s="306">
        <v>0.25964881804066664</v>
      </c>
      <c r="EP122" s="308">
        <v>849119</v>
      </c>
      <c r="EQ122" s="308">
        <f t="shared" si="58"/>
        <v>83.103465273744661</v>
      </c>
      <c r="ER122" s="308">
        <f t="shared" si="59"/>
        <v>0.21992782434519215</v>
      </c>
      <c r="ET122" s="420" t="s">
        <v>13</v>
      </c>
      <c r="EU122" s="420" t="s">
        <v>382</v>
      </c>
      <c r="EV122" s="420">
        <v>1771.3566000000001</v>
      </c>
      <c r="EW122" s="420">
        <v>7.943067518423165E-2</v>
      </c>
      <c r="EX122" s="421">
        <v>849120</v>
      </c>
      <c r="EY122" s="423">
        <f t="shared" si="60"/>
        <v>80.735016513442943</v>
      </c>
      <c r="EZ122" s="423">
        <f t="shared" si="50"/>
        <v>0.21365988135135416</v>
      </c>
      <c r="FA122">
        <v>0</v>
      </c>
      <c r="FD122" s="306" t="s">
        <v>13</v>
      </c>
      <c r="FE122" s="306" t="s">
        <v>382</v>
      </c>
      <c r="FF122" s="306">
        <v>1771.3566000000001</v>
      </c>
      <c r="FG122" s="306">
        <v>7.943067518423165E-2</v>
      </c>
      <c r="FH122" s="307">
        <v>849120</v>
      </c>
      <c r="FI122" s="326">
        <f t="shared" si="61"/>
        <v>80.735016513442943</v>
      </c>
      <c r="FJ122" s="326">
        <f t="shared" si="51"/>
        <v>0.21365988135135416</v>
      </c>
      <c r="FL122" s="101"/>
      <c r="FM122" s="101"/>
      <c r="FN122" s="101"/>
      <c r="FO122" s="101"/>
      <c r="FP122" s="374"/>
      <c r="FQ122" s="405"/>
      <c r="FR122" s="405"/>
    </row>
    <row r="123" spans="1:174">
      <c r="EL123" s="306" t="s">
        <v>13</v>
      </c>
      <c r="EM123" s="306" t="s">
        <v>382</v>
      </c>
      <c r="EN123" s="306">
        <v>1771.3566000000001</v>
      </c>
      <c r="EO123" s="306">
        <v>7.943067518423165E-2</v>
      </c>
      <c r="EP123" s="308">
        <v>849120</v>
      </c>
      <c r="EQ123" s="308">
        <f t="shared" si="58"/>
        <v>25.422662836112092</v>
      </c>
      <c r="ER123" s="308">
        <f t="shared" si="59"/>
        <v>6.727939572904848E-2</v>
      </c>
      <c r="ET123" s="420" t="s">
        <v>13</v>
      </c>
      <c r="EU123" s="420" t="s">
        <v>383</v>
      </c>
      <c r="EV123" s="420">
        <v>6231.1390000000001</v>
      </c>
      <c r="EW123" s="420">
        <v>0.2794149850666986</v>
      </c>
      <c r="EX123" s="421">
        <v>849121</v>
      </c>
      <c r="EY123" s="423">
        <f t="shared" si="60"/>
        <v>24.698116945282898</v>
      </c>
      <c r="EZ123" s="423">
        <f t="shared" si="50"/>
        <v>6.5361932950770599E-2</v>
      </c>
      <c r="FA123">
        <v>0</v>
      </c>
      <c r="FD123" s="306" t="s">
        <v>13</v>
      </c>
      <c r="FE123" s="306" t="s">
        <v>383</v>
      </c>
      <c r="FF123" s="306">
        <v>6231.1390000000001</v>
      </c>
      <c r="FG123" s="306">
        <v>0.2794149850666986</v>
      </c>
      <c r="FH123" s="307">
        <v>849121</v>
      </c>
      <c r="FI123" s="326">
        <f t="shared" si="61"/>
        <v>24.698116945282898</v>
      </c>
      <c r="FJ123" s="326">
        <f t="shared" si="51"/>
        <v>6.5361932950770599E-2</v>
      </c>
      <c r="FL123" s="101"/>
      <c r="FM123" s="101"/>
      <c r="FN123" s="101"/>
      <c r="FO123" s="101"/>
      <c r="FP123" s="374"/>
      <c r="FQ123" s="405"/>
      <c r="FR123" s="405"/>
    </row>
    <row r="124" spans="1:174">
      <c r="EL124" s="306" t="s">
        <v>13</v>
      </c>
      <c r="EM124" s="306" t="s">
        <v>383</v>
      </c>
      <c r="EN124" s="306">
        <v>6231.1390000000001</v>
      </c>
      <c r="EO124" s="306">
        <v>0.2794149850666986</v>
      </c>
      <c r="EP124" s="308">
        <v>849121</v>
      </c>
      <c r="EQ124" s="308">
        <f t="shared" si="58"/>
        <v>89.429844833021576</v>
      </c>
      <c r="ER124" s="308">
        <f t="shared" si="59"/>
        <v>0.23667016941913749</v>
      </c>
      <c r="ET124" s="420" t="s">
        <v>301</v>
      </c>
      <c r="EU124" s="420" t="s">
        <v>578</v>
      </c>
      <c r="EV124" s="420">
        <v>11058.6175</v>
      </c>
      <c r="EW124" s="420">
        <v>0.1539041977987548</v>
      </c>
      <c r="EX124" s="421">
        <v>849122</v>
      </c>
      <c r="EY124" s="423">
        <f t="shared" si="60"/>
        <v>86.881094255280459</v>
      </c>
      <c r="EZ124" s="423">
        <f t="shared" si="50"/>
        <v>0.22992506959069209</v>
      </c>
      <c r="FA124">
        <v>0</v>
      </c>
      <c r="FD124" s="306" t="s">
        <v>301</v>
      </c>
      <c r="FE124" s="306" t="s">
        <v>578</v>
      </c>
      <c r="FF124" s="306">
        <v>11058.6175</v>
      </c>
      <c r="FG124" s="306">
        <v>0.1539041977987548</v>
      </c>
      <c r="FH124" s="307">
        <v>849122</v>
      </c>
      <c r="FI124" s="326">
        <f t="shared" si="61"/>
        <v>86.881094255280459</v>
      </c>
      <c r="FJ124" s="326">
        <f t="shared" si="51"/>
        <v>0.22992506959069209</v>
      </c>
      <c r="FL124" s="101"/>
      <c r="FM124" s="101"/>
      <c r="FN124" s="101"/>
      <c r="FO124" s="101"/>
      <c r="FP124" s="374"/>
      <c r="FQ124" s="405"/>
      <c r="FR124" s="405"/>
    </row>
    <row r="125" spans="1:174">
      <c r="EL125" s="306" t="s">
        <v>301</v>
      </c>
      <c r="EM125" s="306" t="s">
        <v>578</v>
      </c>
      <c r="EN125" s="306">
        <v>11058.6175</v>
      </c>
      <c r="EO125" s="306">
        <v>0.1539041977987548</v>
      </c>
      <c r="EP125" s="308">
        <v>849122</v>
      </c>
      <c r="EQ125" s="308">
        <f t="shared" si="58"/>
        <v>865.04829247158182</v>
      </c>
      <c r="ER125" s="308">
        <f t="shared" si="59"/>
        <v>2.2892930913303884</v>
      </c>
      <c r="ET125" s="420" t="s">
        <v>301</v>
      </c>
      <c r="EU125" s="420" t="s">
        <v>103</v>
      </c>
      <c r="EV125" s="420">
        <v>11210.3078</v>
      </c>
      <c r="EW125" s="420">
        <v>0.15601529115516691</v>
      </c>
      <c r="EX125" s="421">
        <v>849123</v>
      </c>
      <c r="EY125" s="423">
        <f t="shared" si="60"/>
        <v>840.39441613614179</v>
      </c>
      <c r="EZ125" s="423">
        <f t="shared" si="50"/>
        <v>2.2240482382274722</v>
      </c>
      <c r="FA125">
        <v>0</v>
      </c>
      <c r="FD125" s="306" t="s">
        <v>301</v>
      </c>
      <c r="FE125" s="306" t="s">
        <v>103</v>
      </c>
      <c r="FF125" s="306">
        <v>11210.3078</v>
      </c>
      <c r="FG125" s="306">
        <v>0.15601529115516691</v>
      </c>
      <c r="FH125" s="307">
        <v>849123</v>
      </c>
      <c r="FI125" s="326">
        <f t="shared" si="61"/>
        <v>840.39441613614179</v>
      </c>
      <c r="FJ125" s="326">
        <f t="shared" si="51"/>
        <v>2.2240482382274722</v>
      </c>
      <c r="FL125" s="101"/>
      <c r="FM125" s="101"/>
      <c r="FN125" s="101"/>
      <c r="FO125" s="101"/>
      <c r="FP125" s="374"/>
      <c r="FQ125" s="405"/>
      <c r="FR125" s="405"/>
    </row>
    <row r="126" spans="1:174">
      <c r="EL126" s="306" t="s">
        <v>301</v>
      </c>
      <c r="EM126" s="306" t="s">
        <v>103</v>
      </c>
      <c r="EN126" s="306">
        <v>11210.3078</v>
      </c>
      <c r="EO126" s="306">
        <v>0.15601529115516691</v>
      </c>
      <c r="EP126" s="308">
        <v>849123</v>
      </c>
      <c r="EQ126" s="308">
        <f t="shared" si="58"/>
        <v>876.91410074277871</v>
      </c>
      <c r="ER126" s="308">
        <f t="shared" si="59"/>
        <v>2.3206951681100434</v>
      </c>
      <c r="ET126" s="420" t="s">
        <v>301</v>
      </c>
      <c r="EU126" s="420" t="s">
        <v>104</v>
      </c>
      <c r="EV126" s="420">
        <v>10719.050499999999</v>
      </c>
      <c r="EW126" s="420">
        <v>0.14917840031693305</v>
      </c>
      <c r="EX126" s="421">
        <v>849124</v>
      </c>
      <c r="EY126" s="423">
        <f t="shared" si="60"/>
        <v>851.9220488716096</v>
      </c>
      <c r="EZ126" s="423">
        <f t="shared" si="50"/>
        <v>2.2545553558189071</v>
      </c>
      <c r="FA126">
        <v>0</v>
      </c>
      <c r="FD126" s="306" t="s">
        <v>301</v>
      </c>
      <c r="FE126" s="306" t="s">
        <v>104</v>
      </c>
      <c r="FF126" s="306">
        <v>10719.050499999999</v>
      </c>
      <c r="FG126" s="306">
        <v>0.14917840031693305</v>
      </c>
      <c r="FH126" s="307">
        <v>849124</v>
      </c>
      <c r="FI126" s="326">
        <f t="shared" si="61"/>
        <v>851.9220488716096</v>
      </c>
      <c r="FJ126" s="326">
        <f t="shared" si="51"/>
        <v>2.2545553558189071</v>
      </c>
      <c r="FL126" s="101"/>
      <c r="FM126" s="101"/>
      <c r="FN126" s="101"/>
      <c r="FO126" s="101"/>
      <c r="FP126" s="374"/>
      <c r="FQ126" s="405"/>
      <c r="FR126" s="405"/>
    </row>
    <row r="127" spans="1:174">
      <c r="EL127" s="306" t="s">
        <v>301</v>
      </c>
      <c r="EM127" s="306" t="s">
        <v>104</v>
      </c>
      <c r="EN127" s="306">
        <v>10719.050499999999</v>
      </c>
      <c r="EO127" s="306">
        <v>0.14917840031693305</v>
      </c>
      <c r="EP127" s="308">
        <v>849124</v>
      </c>
      <c r="EQ127" s="308">
        <f t="shared" si="58"/>
        <v>838.48603425714418</v>
      </c>
      <c r="ER127" s="308">
        <f t="shared" si="59"/>
        <v>2.2189978318059689</v>
      </c>
      <c r="ET127" s="420" t="s">
        <v>301</v>
      </c>
      <c r="EU127" s="420" t="s">
        <v>117</v>
      </c>
      <c r="EV127" s="420">
        <v>25550.6122</v>
      </c>
      <c r="EW127" s="420">
        <v>0.35559114635333733</v>
      </c>
      <c r="EX127" s="421">
        <v>849125</v>
      </c>
      <c r="EY127" s="423">
        <f t="shared" si="60"/>
        <v>814.58918228081563</v>
      </c>
      <c r="EZ127" s="423">
        <f t="shared" si="50"/>
        <v>2.155756393599499</v>
      </c>
      <c r="FA127">
        <v>0</v>
      </c>
      <c r="FD127" s="306" t="s">
        <v>301</v>
      </c>
      <c r="FE127" s="306" t="s">
        <v>117</v>
      </c>
      <c r="FF127" s="306">
        <v>25550.6122</v>
      </c>
      <c r="FG127" s="306">
        <v>0.35559114635333733</v>
      </c>
      <c r="FH127" s="307">
        <v>849125</v>
      </c>
      <c r="FI127" s="326">
        <f t="shared" si="61"/>
        <v>814.58918228081563</v>
      </c>
      <c r="FJ127" s="326">
        <f t="shared" si="51"/>
        <v>2.155756393599499</v>
      </c>
      <c r="FL127" s="101"/>
      <c r="FM127" s="101"/>
      <c r="FN127" s="101"/>
      <c r="FO127" s="101"/>
      <c r="FP127" s="374"/>
      <c r="FQ127" s="405"/>
      <c r="FR127" s="405"/>
    </row>
    <row r="128" spans="1:174">
      <c r="EL128" s="306" t="s">
        <v>301</v>
      </c>
      <c r="EM128" s="306" t="s">
        <v>117</v>
      </c>
      <c r="EN128" s="306">
        <v>25550.6122</v>
      </c>
      <c r="EO128" s="306">
        <v>0.35559114635333733</v>
      </c>
      <c r="EP128" s="308">
        <v>849125</v>
      </c>
      <c r="EQ128" s="308">
        <f t="shared" si="58"/>
        <v>1998.6687716808692</v>
      </c>
      <c r="ER128" s="308">
        <f t="shared" si="59"/>
        <v>5.2893447113730021</v>
      </c>
      <c r="ET128" s="420" t="s">
        <v>301</v>
      </c>
      <c r="EU128" s="420" t="s">
        <v>118</v>
      </c>
      <c r="EV128" s="420">
        <v>13315.3163</v>
      </c>
      <c r="EW128" s="420">
        <v>0.18531096437580774</v>
      </c>
      <c r="EX128" s="421">
        <v>849126</v>
      </c>
      <c r="EY128" s="423">
        <f t="shared" si="60"/>
        <v>1941.7067116879646</v>
      </c>
      <c r="EZ128" s="423">
        <f t="shared" si="50"/>
        <v>5.1385983870988721</v>
      </c>
      <c r="FA128">
        <v>0</v>
      </c>
      <c r="FD128" s="306" t="s">
        <v>301</v>
      </c>
      <c r="FE128" s="306" t="s">
        <v>118</v>
      </c>
      <c r="FF128" s="306">
        <v>13315.3163</v>
      </c>
      <c r="FG128" s="306">
        <v>0.18531096437580774</v>
      </c>
      <c r="FH128" s="307">
        <v>849126</v>
      </c>
      <c r="FI128" s="326">
        <f t="shared" si="61"/>
        <v>1941.7067116879646</v>
      </c>
      <c r="FJ128" s="326">
        <f t="shared" si="51"/>
        <v>5.1385983870988721</v>
      </c>
      <c r="FL128" s="101"/>
      <c r="FM128" s="101"/>
      <c r="FN128" s="101"/>
      <c r="FO128" s="101"/>
      <c r="FP128" s="374"/>
      <c r="FQ128" s="405"/>
      <c r="FR128" s="405"/>
    </row>
    <row r="129" spans="1:174">
      <c r="EL129" s="306" t="s">
        <v>301</v>
      </c>
      <c r="EM129" s="306" t="s">
        <v>118</v>
      </c>
      <c r="EN129" s="306">
        <v>13315.3163</v>
      </c>
      <c r="EO129" s="306">
        <v>0.18531096437580774</v>
      </c>
      <c r="EP129" s="308">
        <v>849126</v>
      </c>
      <c r="EQ129" s="308">
        <f t="shared" si="58"/>
        <v>1041.5760947545225</v>
      </c>
      <c r="ER129" s="308">
        <f t="shared" si="59"/>
        <v>2.7564622444413969</v>
      </c>
      <c r="ET129" s="420" t="s">
        <v>302</v>
      </c>
      <c r="EU129" s="420" t="s">
        <v>580</v>
      </c>
      <c r="EV129" s="420">
        <v>15739.680700000001</v>
      </c>
      <c r="EW129" s="420">
        <v>0.310763615277375</v>
      </c>
      <c r="EX129" s="421">
        <v>849127</v>
      </c>
      <c r="EY129" s="423">
        <f t="shared" si="60"/>
        <v>1011.8911760540186</v>
      </c>
      <c r="EZ129" s="423">
        <f t="shared" si="50"/>
        <v>2.6779030704748172</v>
      </c>
      <c r="FA129">
        <v>0</v>
      </c>
      <c r="FD129" s="306" t="s">
        <v>302</v>
      </c>
      <c r="FE129" s="306" t="s">
        <v>580</v>
      </c>
      <c r="FF129" s="306">
        <v>15739.680700000001</v>
      </c>
      <c r="FG129" s="306">
        <v>0.310763615277375</v>
      </c>
      <c r="FH129" s="307">
        <v>849127</v>
      </c>
      <c r="FI129" s="326">
        <f t="shared" si="61"/>
        <v>1011.8911760540186</v>
      </c>
      <c r="FJ129" s="326">
        <f t="shared" si="51"/>
        <v>2.6779030704748172</v>
      </c>
      <c r="FL129" s="101"/>
      <c r="FM129" s="101"/>
      <c r="FN129" s="101"/>
      <c r="FO129" s="101"/>
      <c r="FP129" s="374"/>
      <c r="FQ129" s="405"/>
      <c r="FR129" s="405"/>
    </row>
    <row r="130" spans="1:174">
      <c r="EL130" s="306" t="s">
        <v>302</v>
      </c>
      <c r="EM130" s="306" t="s">
        <v>580</v>
      </c>
      <c r="EN130" s="306">
        <v>15739.680700000001</v>
      </c>
      <c r="EO130" s="306">
        <v>0.310763615277375</v>
      </c>
      <c r="EP130" s="308">
        <v>849127</v>
      </c>
      <c r="EQ130" s="308">
        <f t="shared" si="58"/>
        <v>20.815081477061909</v>
      </c>
      <c r="ER130" s="308">
        <f t="shared" si="59"/>
        <v>5.5085736409892283E-2</v>
      </c>
      <c r="ET130" s="420" t="s">
        <v>302</v>
      </c>
      <c r="EU130" s="420" t="s">
        <v>581</v>
      </c>
      <c r="EV130" s="420">
        <v>34908.721899999997</v>
      </c>
      <c r="EW130" s="420">
        <v>0.68923638472262494</v>
      </c>
      <c r="EX130" s="421">
        <v>849128</v>
      </c>
      <c r="EY130" s="423">
        <f t="shared" si="60"/>
        <v>20.221851654965647</v>
      </c>
      <c r="EZ130" s="423">
        <f t="shared" si="50"/>
        <v>5.3515792922210356E-2</v>
      </c>
      <c r="FA130">
        <v>0</v>
      </c>
      <c r="FD130" s="306" t="s">
        <v>302</v>
      </c>
      <c r="FE130" s="306" t="s">
        <v>581</v>
      </c>
      <c r="FF130" s="306">
        <v>34908.721899999997</v>
      </c>
      <c r="FG130" s="306">
        <v>0.68923638472262494</v>
      </c>
      <c r="FH130" s="307">
        <v>849128</v>
      </c>
      <c r="FI130" s="326">
        <f t="shared" si="61"/>
        <v>20.221851654965647</v>
      </c>
      <c r="FJ130" s="326">
        <f t="shared" si="51"/>
        <v>5.3515792922210356E-2</v>
      </c>
      <c r="FL130" s="101"/>
      <c r="FM130" s="101"/>
      <c r="FN130" s="101"/>
      <c r="FO130" s="101"/>
      <c r="FP130" s="374"/>
      <c r="FQ130" s="405"/>
      <c r="FR130" s="405"/>
    </row>
    <row r="131" spans="1:174">
      <c r="EL131" s="306" t="s">
        <v>302</v>
      </c>
      <c r="EM131" s="306" t="s">
        <v>581</v>
      </c>
      <c r="EN131" s="306">
        <v>34908.721899999997</v>
      </c>
      <c r="EO131" s="306">
        <v>0.68923638472262494</v>
      </c>
      <c r="EP131" s="308">
        <v>849128</v>
      </c>
      <c r="EQ131" s="308">
        <f t="shared" si="58"/>
        <v>46.165351410756088</v>
      </c>
      <c r="ER131" s="308">
        <f t="shared" si="59"/>
        <v>0.12217354911079194</v>
      </c>
      <c r="ET131" s="420" t="s">
        <v>303</v>
      </c>
      <c r="EU131" s="420" t="s">
        <v>583</v>
      </c>
      <c r="EV131" s="420">
        <v>4662.5794999999998</v>
      </c>
      <c r="EW131" s="420">
        <v>1</v>
      </c>
      <c r="EX131" s="421">
        <v>849129</v>
      </c>
      <c r="EY131" s="423">
        <f t="shared" si="60"/>
        <v>44.849638895549539</v>
      </c>
      <c r="EZ131" s="423">
        <f t="shared" si="50"/>
        <v>0.11869160296113437</v>
      </c>
      <c r="FA131">
        <v>0</v>
      </c>
      <c r="FD131" s="306" t="s">
        <v>303</v>
      </c>
      <c r="FE131" s="306" t="s">
        <v>583</v>
      </c>
      <c r="FF131" s="306">
        <v>4662.5794999999998</v>
      </c>
      <c r="FG131" s="306">
        <v>1</v>
      </c>
      <c r="FH131" s="307">
        <v>849129</v>
      </c>
      <c r="FI131" s="326">
        <f t="shared" si="61"/>
        <v>44.849638895549539</v>
      </c>
      <c r="FJ131" s="326">
        <f t="shared" si="51"/>
        <v>0.11869160296113437</v>
      </c>
      <c r="FL131" s="101"/>
      <c r="FM131" s="101"/>
      <c r="FN131" s="101"/>
      <c r="FO131" s="101"/>
      <c r="FP131" s="374"/>
      <c r="FQ131" s="405"/>
      <c r="FR131" s="405"/>
    </row>
    <row r="132" spans="1:174">
      <c r="EL132" s="306" t="s">
        <v>303</v>
      </c>
      <c r="EM132" s="306" t="s">
        <v>583</v>
      </c>
      <c r="EN132" s="306">
        <v>4662.5794999999998</v>
      </c>
      <c r="EO132" s="306">
        <v>1</v>
      </c>
      <c r="EP132" s="308">
        <v>849129</v>
      </c>
      <c r="EQ132" s="308">
        <f t="shared" si="58"/>
        <v>118.53388560613854</v>
      </c>
      <c r="ER132" s="308">
        <f t="shared" si="59"/>
        <v>0.31369208837042378</v>
      </c>
      <c r="ET132" s="420" t="s">
        <v>304</v>
      </c>
      <c r="EU132" s="420" t="s">
        <v>585</v>
      </c>
      <c r="EV132" s="420">
        <v>1500.06</v>
      </c>
      <c r="EW132" s="420">
        <v>0.43611638887745335</v>
      </c>
      <c r="EX132" s="421">
        <v>849130</v>
      </c>
      <c r="EY132" s="423">
        <f t="shared" si="60"/>
        <v>115.1556698663636</v>
      </c>
      <c r="EZ132" s="423">
        <f t="shared" si="50"/>
        <v>0.3047518638518667</v>
      </c>
      <c r="FA132">
        <v>0</v>
      </c>
      <c r="FD132" s="306" t="s">
        <v>304</v>
      </c>
      <c r="FE132" s="306" t="s">
        <v>585</v>
      </c>
      <c r="FF132" s="306">
        <v>1500.06</v>
      </c>
      <c r="FG132" s="306">
        <v>0.43611638887745335</v>
      </c>
      <c r="FH132" s="307">
        <v>849130</v>
      </c>
      <c r="FI132" s="326">
        <f t="shared" si="61"/>
        <v>115.1556698663636</v>
      </c>
      <c r="FJ132" s="326">
        <f t="shared" si="51"/>
        <v>0.3047518638518667</v>
      </c>
      <c r="FL132" s="101"/>
      <c r="FM132" s="101"/>
      <c r="FN132" s="101"/>
      <c r="FO132" s="101"/>
      <c r="FP132" s="374"/>
      <c r="FQ132" s="405"/>
      <c r="FR132" s="405"/>
    </row>
    <row r="133" spans="1:174">
      <c r="EL133" s="306" t="s">
        <v>304</v>
      </c>
      <c r="EM133" s="306" t="s">
        <v>585</v>
      </c>
      <c r="EN133" s="306">
        <v>1500.06</v>
      </c>
      <c r="EO133" s="306">
        <v>0.43611638887745335</v>
      </c>
      <c r="EP133" s="308">
        <v>849130</v>
      </c>
      <c r="EQ133" s="308">
        <f t="shared" si="58"/>
        <v>4.7691860435075597</v>
      </c>
      <c r="ER133" s="308">
        <f t="shared" si="59"/>
        <v>1.2621335427963799E-2</v>
      </c>
      <c r="ET133" s="420" t="s">
        <v>304</v>
      </c>
      <c r="EU133" s="420" t="s">
        <v>393</v>
      </c>
      <c r="EV133" s="420">
        <v>1939.5264</v>
      </c>
      <c r="EW133" s="420">
        <v>0.56388361112254659</v>
      </c>
      <c r="EX133" s="421">
        <v>849131</v>
      </c>
      <c r="EY133" s="423">
        <f t="shared" si="60"/>
        <v>4.633264241267594</v>
      </c>
      <c r="EZ133" s="423">
        <f t="shared" si="50"/>
        <v>1.2261627368266831E-2</v>
      </c>
      <c r="FA133">
        <v>0</v>
      </c>
      <c r="FD133" s="306" t="s">
        <v>304</v>
      </c>
      <c r="FE133" s="306" t="s">
        <v>393</v>
      </c>
      <c r="FF133" s="306">
        <v>1939.5264</v>
      </c>
      <c r="FG133" s="306">
        <v>0.56388361112254659</v>
      </c>
      <c r="FH133" s="307">
        <v>849131</v>
      </c>
      <c r="FI133" s="326">
        <f t="shared" si="61"/>
        <v>4.633264241267594</v>
      </c>
      <c r="FJ133" s="326">
        <f t="shared" si="51"/>
        <v>1.2261627368266831E-2</v>
      </c>
      <c r="FL133" s="101"/>
      <c r="FM133" s="101"/>
      <c r="FN133" s="101"/>
      <c r="FO133" s="101"/>
      <c r="FP133" s="374"/>
      <c r="FQ133" s="405"/>
      <c r="FR133" s="405"/>
    </row>
    <row r="134" spans="1:174">
      <c r="EL134" s="306" t="s">
        <v>304</v>
      </c>
      <c r="EM134" s="306" t="s">
        <v>393</v>
      </c>
      <c r="EN134" s="306">
        <v>1939.5264</v>
      </c>
      <c r="EO134" s="306">
        <v>0.56388361112254659</v>
      </c>
      <c r="EP134" s="308">
        <v>849131</v>
      </c>
      <c r="EQ134" s="308">
        <f t="shared" si="58"/>
        <v>6.1663948361361953</v>
      </c>
      <c r="ER134" s="308">
        <f t="shared" si="59"/>
        <v>1.63189560856173E-2</v>
      </c>
      <c r="ET134" s="420" t="s">
        <v>305</v>
      </c>
      <c r="EU134" s="420" t="s">
        <v>680</v>
      </c>
      <c r="EV134" s="420">
        <v>2026.3647000000001</v>
      </c>
      <c r="EW134" s="420">
        <v>1</v>
      </c>
      <c r="EX134" s="421">
        <v>849132</v>
      </c>
      <c r="EY134" s="423">
        <f t="shared" si="60"/>
        <v>5.9906525833063142</v>
      </c>
      <c r="EZ134" s="423">
        <f t="shared" si="50"/>
        <v>1.5853865837177208E-2</v>
      </c>
      <c r="FA134">
        <v>0</v>
      </c>
      <c r="FD134" s="306" t="s">
        <v>305</v>
      </c>
      <c r="FE134" s="306" t="s">
        <v>680</v>
      </c>
      <c r="FF134" s="306">
        <v>2026.3647000000001</v>
      </c>
      <c r="FG134" s="306">
        <v>1</v>
      </c>
      <c r="FH134" s="307">
        <v>849132</v>
      </c>
      <c r="FI134" s="326">
        <f t="shared" si="61"/>
        <v>5.9906525833063142</v>
      </c>
      <c r="FJ134" s="326">
        <f t="shared" si="51"/>
        <v>1.5853865837177208E-2</v>
      </c>
      <c r="FL134" s="101"/>
      <c r="FM134" s="101"/>
      <c r="FN134" s="101"/>
      <c r="FO134" s="101"/>
      <c r="FP134" s="374"/>
      <c r="FQ134" s="405"/>
      <c r="FR134" s="405"/>
    </row>
    <row r="135" spans="1:174">
      <c r="EL135" s="306" t="s">
        <v>305</v>
      </c>
      <c r="EM135" s="306" t="s">
        <v>680</v>
      </c>
      <c r="EN135" s="306">
        <v>2026.3647000000001</v>
      </c>
      <c r="EO135" s="306">
        <v>1</v>
      </c>
      <c r="EP135" s="308">
        <v>849132</v>
      </c>
      <c r="EQ135" s="308">
        <f t="shared" si="58"/>
        <v>33.783133788899455</v>
      </c>
      <c r="ER135" s="308">
        <f t="shared" si="59"/>
        <v>8.9404829140170214E-2</v>
      </c>
      <c r="ET135" s="420" t="s">
        <v>47</v>
      </c>
      <c r="EU135" s="420" t="s">
        <v>681</v>
      </c>
      <c r="EV135" s="420">
        <v>41993.0622</v>
      </c>
      <c r="EW135" s="420">
        <v>0.3967757985704885</v>
      </c>
      <c r="EX135" s="421">
        <v>849133</v>
      </c>
      <c r="EY135" s="423">
        <f t="shared" si="60"/>
        <v>32.820314475915822</v>
      </c>
      <c r="EZ135" s="423">
        <f t="shared" si="50"/>
        <v>8.685679150967536E-2</v>
      </c>
      <c r="FA135">
        <v>0</v>
      </c>
      <c r="FD135" s="306" t="s">
        <v>47</v>
      </c>
      <c r="FE135" s="306" t="s">
        <v>681</v>
      </c>
      <c r="FF135" s="306">
        <v>41993.0622</v>
      </c>
      <c r="FG135" s="306">
        <v>0.3967757985704885</v>
      </c>
      <c r="FH135" s="307">
        <v>849133</v>
      </c>
      <c r="FI135" s="326">
        <f t="shared" si="61"/>
        <v>32.820314475915822</v>
      </c>
      <c r="FJ135" s="326">
        <f t="shared" si="51"/>
        <v>8.685679150967536E-2</v>
      </c>
      <c r="FL135" s="101"/>
      <c r="FM135" s="101"/>
      <c r="FN135" s="101"/>
      <c r="FO135" s="101"/>
      <c r="FP135" s="374"/>
      <c r="FQ135" s="405"/>
      <c r="FR135" s="405"/>
    </row>
    <row r="136" spans="1:174">
      <c r="EL136" s="306" t="s">
        <v>47</v>
      </c>
      <c r="EM136" s="306" t="s">
        <v>681</v>
      </c>
      <c r="EN136" s="306">
        <v>41993.0622</v>
      </c>
      <c r="EO136" s="306">
        <v>0.3967757985704885</v>
      </c>
      <c r="EP136" s="308">
        <v>849133</v>
      </c>
      <c r="EQ136" s="308">
        <f t="shared" si="58"/>
        <v>1161.3728363052205</v>
      </c>
      <c r="ER136" s="308">
        <f t="shared" si="59"/>
        <v>3.0734963975432192</v>
      </c>
      <c r="ET136" s="420" t="s">
        <v>47</v>
      </c>
      <c r="EU136" s="420" t="s">
        <v>398</v>
      </c>
      <c r="EV136" s="420">
        <v>63842.682699999998</v>
      </c>
      <c r="EW136" s="420">
        <v>0.60322420142951161</v>
      </c>
      <c r="EX136" s="421">
        <v>849134</v>
      </c>
      <c r="EY136" s="423">
        <f t="shared" si="60"/>
        <v>1128.2737104705218</v>
      </c>
      <c r="EZ136" s="423">
        <f t="shared" si="50"/>
        <v>2.9859017502132374</v>
      </c>
      <c r="FA136">
        <v>0</v>
      </c>
      <c r="FD136" s="306" t="s">
        <v>47</v>
      </c>
      <c r="FE136" s="306" t="s">
        <v>398</v>
      </c>
      <c r="FF136" s="306">
        <v>63842.682699999998</v>
      </c>
      <c r="FG136" s="306">
        <v>0.60322420142951161</v>
      </c>
      <c r="FH136" s="307">
        <v>849134</v>
      </c>
      <c r="FI136" s="326">
        <f t="shared" si="61"/>
        <v>1128.2737104705218</v>
      </c>
      <c r="FJ136" s="326">
        <f t="shared" si="51"/>
        <v>2.9859017502132374</v>
      </c>
      <c r="FL136" s="101"/>
      <c r="FM136" s="101"/>
      <c r="FN136" s="101"/>
      <c r="FO136" s="101"/>
      <c r="FP136" s="374"/>
      <c r="FQ136" s="405"/>
      <c r="FR136" s="405"/>
    </row>
    <row r="137" spans="1:174">
      <c r="EL137" s="306" t="s">
        <v>47</v>
      </c>
      <c r="EM137" s="306" t="s">
        <v>398</v>
      </c>
      <c r="EN137" s="306">
        <v>63842.682699999998</v>
      </c>
      <c r="EO137" s="306">
        <v>0.60322420142951161</v>
      </c>
      <c r="EP137" s="308">
        <v>849134</v>
      </c>
      <c r="EQ137" s="308">
        <f t="shared" si="58"/>
        <v>1765.6525530694266</v>
      </c>
      <c r="ER137" s="308">
        <f t="shared" si="59"/>
        <v>4.6726827006186937</v>
      </c>
      <c r="EY137" s="431">
        <f>EY138-VLOOKUP($EV$138,장항공공주택지구_통행량제외분!$J$12:$P$18,2,FALSE)</f>
        <v>10026.939416185503</v>
      </c>
      <c r="EZ137" s="431">
        <f>EZ138-VLOOKUP($EV$138,장항공공주택지구_통행량제외분!$J$12:$P$18,4,FALSE)</f>
        <v>18.662756594136926</v>
      </c>
      <c r="FH137" s="277"/>
      <c r="FI137" s="310">
        <f t="shared" ref="FI137:FJ137" si="62">SUM(FI103:FI136)</f>
        <v>16504.306473236429</v>
      </c>
      <c r="FJ137" s="310">
        <f t="shared" si="62"/>
        <v>43.677555478928149</v>
      </c>
      <c r="FP137" s="277"/>
      <c r="FQ137" s="310"/>
      <c r="FR137" s="310"/>
    </row>
    <row r="138" spans="1:174">
      <c r="EQ138" s="310">
        <f>SUM(EQ103:EQ137)</f>
        <v>18754.130652129053</v>
      </c>
      <c r="ER138" s="310">
        <f>SUM(ER103:ER137)</f>
        <v>49.631566363951819</v>
      </c>
      <c r="EV138" s="432">
        <f>기준년도설정!B1</f>
        <v>2025</v>
      </c>
      <c r="EY138" s="310">
        <f>SUM(EY103:EY136)</f>
        <v>16504.306473236429</v>
      </c>
      <c r="EZ138" s="310">
        <f>SUM(EZ103:EZ136)</f>
        <v>43.677555478928149</v>
      </c>
      <c r="FH138" s="277"/>
    </row>
    <row r="139" spans="1:174">
      <c r="FA139" s="277"/>
    </row>
    <row r="140" spans="1:174">
      <c r="FA140" s="277"/>
    </row>
    <row r="141" spans="1:174">
      <c r="FA141" s="277"/>
    </row>
    <row r="142" spans="1:174" s="227" customFormat="1" ht="19.5">
      <c r="A142" s="329">
        <v>2025</v>
      </c>
      <c r="B142" s="282"/>
      <c r="C142" s="283"/>
      <c r="D142" s="284"/>
      <c r="E142" s="284"/>
      <c r="F142" s="284"/>
      <c r="G142" s="284"/>
      <c r="H142" s="284"/>
      <c r="I142" s="284"/>
      <c r="K142" s="282"/>
      <c r="L142" s="282"/>
      <c r="M142" s="283"/>
      <c r="N142" s="284"/>
      <c r="O142" s="284"/>
      <c r="P142" s="284"/>
      <c r="Q142" s="284"/>
      <c r="R142" s="284"/>
      <c r="S142" s="284"/>
    </row>
    <row r="143" spans="1:174" ht="23.5" thickBot="1">
      <c r="A143" s="32" t="s">
        <v>642</v>
      </c>
      <c r="C143" t="s">
        <v>464</v>
      </c>
      <c r="D143" t="s">
        <v>468</v>
      </c>
      <c r="E143" t="s">
        <v>471</v>
      </c>
      <c r="F143" t="s">
        <v>466</v>
      </c>
      <c r="G143" t="s">
        <v>467</v>
      </c>
      <c r="H143" t="s">
        <v>21</v>
      </c>
      <c r="K143" s="32" t="s">
        <v>472</v>
      </c>
      <c r="CV143" s="32" t="s">
        <v>493</v>
      </c>
      <c r="CY143" t="s">
        <v>479</v>
      </c>
      <c r="CZ143" t="s">
        <v>480</v>
      </c>
      <c r="ET143" s="353" t="s">
        <v>863</v>
      </c>
      <c r="FL143" s="353"/>
    </row>
    <row r="144" spans="1:174">
      <c r="A144" t="s">
        <v>463</v>
      </c>
      <c r="C144" t="s">
        <v>427</v>
      </c>
      <c r="D144" t="s">
        <v>428</v>
      </c>
      <c r="E144" t="s">
        <v>429</v>
      </c>
      <c r="F144" t="s">
        <v>430</v>
      </c>
      <c r="G144" t="s">
        <v>431</v>
      </c>
      <c r="H144" t="s">
        <v>457</v>
      </c>
      <c r="K144" s="159" t="s">
        <v>483</v>
      </c>
      <c r="L144" s="159"/>
      <c r="M144" s="441" t="s">
        <v>464</v>
      </c>
      <c r="N144" s="442"/>
      <c r="O144" s="442"/>
      <c r="P144" s="442"/>
      <c r="Q144" s="442"/>
      <c r="R144" s="442"/>
      <c r="S144" s="442"/>
      <c r="T144" s="442"/>
      <c r="U144" s="442"/>
      <c r="V144" s="442"/>
      <c r="W144" s="442"/>
      <c r="X144" s="442"/>
      <c r="Y144" s="442"/>
      <c r="Z144" s="443"/>
      <c r="AA144" s="441" t="s">
        <v>468</v>
      </c>
      <c r="AB144" s="442"/>
      <c r="AC144" s="442"/>
      <c r="AD144" s="442"/>
      <c r="AE144" s="442"/>
      <c r="AF144" s="442"/>
      <c r="AG144" s="442"/>
      <c r="AH144" s="442"/>
      <c r="AI144" s="442"/>
      <c r="AJ144" s="442"/>
      <c r="AK144" s="442"/>
      <c r="AL144" s="442"/>
      <c r="AM144" s="442"/>
      <c r="AN144" s="443"/>
      <c r="AO144" s="441" t="s">
        <v>465</v>
      </c>
      <c r="AP144" s="442"/>
      <c r="AQ144" s="442"/>
      <c r="AR144" s="442"/>
      <c r="AS144" s="442"/>
      <c r="AT144" s="442"/>
      <c r="AU144" s="442"/>
      <c r="AV144" s="442"/>
      <c r="AW144" s="442"/>
      <c r="AX144" s="442"/>
      <c r="AY144" s="442"/>
      <c r="AZ144" s="442"/>
      <c r="BA144" s="442"/>
      <c r="BB144" s="443"/>
      <c r="BC144" s="441" t="s">
        <v>466</v>
      </c>
      <c r="BD144" s="442"/>
      <c r="BE144" s="442"/>
      <c r="BF144" s="442"/>
      <c r="BG144" s="442"/>
      <c r="BH144" s="442"/>
      <c r="BI144" s="442"/>
      <c r="BJ144" s="442"/>
      <c r="BK144" s="442"/>
      <c r="BL144" s="442"/>
      <c r="BM144" s="442"/>
      <c r="BN144" s="442"/>
      <c r="BO144" s="442"/>
      <c r="BP144" s="443"/>
      <c r="BQ144" s="441" t="s">
        <v>467</v>
      </c>
      <c r="BR144" s="442"/>
      <c r="BS144" s="442"/>
      <c r="BT144" s="442"/>
      <c r="BU144" s="442"/>
      <c r="BV144" s="442"/>
      <c r="BW144" s="442"/>
      <c r="BX144" s="442"/>
      <c r="BY144" s="442"/>
      <c r="BZ144" s="442"/>
      <c r="CA144" s="442"/>
      <c r="CB144" s="442"/>
      <c r="CC144" s="442"/>
      <c r="CD144" s="443"/>
      <c r="CE144" s="441" t="s">
        <v>21</v>
      </c>
      <c r="CF144" s="442"/>
      <c r="CG144" s="442"/>
      <c r="CH144" s="442"/>
      <c r="CI144" s="442"/>
      <c r="CJ144" s="442"/>
      <c r="CK144" s="442"/>
      <c r="CL144" s="442"/>
      <c r="CM144" s="442"/>
      <c r="CN144" s="442"/>
      <c r="CO144" s="442"/>
      <c r="CP144" s="442"/>
      <c r="CQ144" s="442"/>
      <c r="CR144" s="443"/>
      <c r="CV144" s="263" t="s">
        <v>483</v>
      </c>
      <c r="CW144" s="263"/>
      <c r="CX144" s="445" t="s">
        <v>555</v>
      </c>
      <c r="CY144" s="439"/>
      <c r="CZ144" s="439"/>
      <c r="DA144" s="446"/>
      <c r="DB144" s="438" t="s">
        <v>554</v>
      </c>
      <c r="DC144" s="439"/>
      <c r="DD144" s="439"/>
      <c r="DE144" s="446"/>
      <c r="DF144" s="438" t="s">
        <v>465</v>
      </c>
      <c r="DG144" s="439"/>
      <c r="DH144" s="439"/>
      <c r="DI144" s="446"/>
      <c r="DJ144" s="438" t="s">
        <v>466</v>
      </c>
      <c r="DK144" s="439"/>
      <c r="DL144" s="439"/>
      <c r="DM144" s="446"/>
      <c r="DN144" s="438" t="s">
        <v>467</v>
      </c>
      <c r="DO144" s="439"/>
      <c r="DP144" s="439"/>
      <c r="DQ144" s="446"/>
      <c r="DR144" s="438" t="s">
        <v>21</v>
      </c>
      <c r="DS144" s="439"/>
      <c r="DT144" s="439"/>
      <c r="DU144" s="440"/>
      <c r="DW144" s="278"/>
      <c r="DX144" s="278"/>
      <c r="DY144" s="444" t="s">
        <v>589</v>
      </c>
      <c r="DZ144" s="444"/>
      <c r="EB144" s="278"/>
      <c r="EC144" s="278"/>
      <c r="ED144" s="444" t="s">
        <v>589</v>
      </c>
      <c r="EE144" s="444"/>
      <c r="EI144" t="s">
        <v>600</v>
      </c>
    </row>
    <row r="145" spans="1:174">
      <c r="A145" s="199"/>
      <c r="B145" s="199"/>
      <c r="C145" s="202" t="s">
        <v>464</v>
      </c>
      <c r="D145" s="202" t="s">
        <v>468</v>
      </c>
      <c r="E145" s="202" t="s">
        <v>465</v>
      </c>
      <c r="F145" s="202" t="s">
        <v>466</v>
      </c>
      <c r="G145" s="202" t="s">
        <v>679</v>
      </c>
      <c r="H145" s="202" t="s">
        <v>21</v>
      </c>
      <c r="K145" s="159"/>
      <c r="L145" s="159"/>
      <c r="M145" s="211" t="s">
        <v>473</v>
      </c>
      <c r="N145" s="160" t="s">
        <v>156</v>
      </c>
      <c r="O145" s="160" t="s">
        <v>476</v>
      </c>
      <c r="P145" s="160" t="s">
        <v>477</v>
      </c>
      <c r="Q145" s="160" t="s">
        <v>478</v>
      </c>
      <c r="R145" s="160" t="s">
        <v>479</v>
      </c>
      <c r="S145" s="160" t="s">
        <v>480</v>
      </c>
      <c r="T145" s="160" t="s">
        <v>481</v>
      </c>
      <c r="U145" s="160" t="s">
        <v>449</v>
      </c>
      <c r="V145" s="160" t="s">
        <v>157</v>
      </c>
      <c r="W145" s="160" t="s">
        <v>474</v>
      </c>
      <c r="X145" s="160" t="s">
        <v>475</v>
      </c>
      <c r="Y145" s="160" t="s">
        <v>46</v>
      </c>
      <c r="Z145" s="212" t="s">
        <v>11</v>
      </c>
      <c r="AA145" s="211" t="s">
        <v>473</v>
      </c>
      <c r="AB145" s="160" t="s">
        <v>156</v>
      </c>
      <c r="AC145" s="160" t="s">
        <v>476</v>
      </c>
      <c r="AD145" s="160" t="s">
        <v>477</v>
      </c>
      <c r="AE145" s="160" t="s">
        <v>478</v>
      </c>
      <c r="AF145" s="160" t="s">
        <v>479</v>
      </c>
      <c r="AG145" s="160" t="s">
        <v>480</v>
      </c>
      <c r="AH145" s="160" t="s">
        <v>481</v>
      </c>
      <c r="AI145" s="160" t="s">
        <v>449</v>
      </c>
      <c r="AJ145" s="160" t="s">
        <v>157</v>
      </c>
      <c r="AK145" s="160" t="s">
        <v>474</v>
      </c>
      <c r="AL145" s="160" t="s">
        <v>475</v>
      </c>
      <c r="AM145" s="160" t="s">
        <v>46</v>
      </c>
      <c r="AN145" s="212" t="s">
        <v>11</v>
      </c>
      <c r="AO145" s="211" t="s">
        <v>473</v>
      </c>
      <c r="AP145" s="160" t="s">
        <v>156</v>
      </c>
      <c r="AQ145" s="160" t="s">
        <v>476</v>
      </c>
      <c r="AR145" s="160" t="s">
        <v>477</v>
      </c>
      <c r="AS145" s="160" t="s">
        <v>478</v>
      </c>
      <c r="AT145" s="160" t="s">
        <v>479</v>
      </c>
      <c r="AU145" s="160" t="s">
        <v>480</v>
      </c>
      <c r="AV145" s="160" t="s">
        <v>481</v>
      </c>
      <c r="AW145" s="160" t="s">
        <v>449</v>
      </c>
      <c r="AX145" s="160" t="s">
        <v>157</v>
      </c>
      <c r="AY145" s="160" t="s">
        <v>474</v>
      </c>
      <c r="AZ145" s="160" t="s">
        <v>475</v>
      </c>
      <c r="BA145" s="160" t="s">
        <v>46</v>
      </c>
      <c r="BB145" s="212" t="s">
        <v>11</v>
      </c>
      <c r="BC145" s="211" t="s">
        <v>473</v>
      </c>
      <c r="BD145" s="160" t="s">
        <v>156</v>
      </c>
      <c r="BE145" s="160" t="s">
        <v>476</v>
      </c>
      <c r="BF145" s="160" t="s">
        <v>477</v>
      </c>
      <c r="BG145" s="160" t="s">
        <v>478</v>
      </c>
      <c r="BH145" s="160" t="s">
        <v>479</v>
      </c>
      <c r="BI145" s="160" t="s">
        <v>480</v>
      </c>
      <c r="BJ145" s="160" t="s">
        <v>481</v>
      </c>
      <c r="BK145" s="160" t="s">
        <v>449</v>
      </c>
      <c r="BL145" s="160" t="s">
        <v>157</v>
      </c>
      <c r="BM145" s="160" t="s">
        <v>474</v>
      </c>
      <c r="BN145" s="160" t="s">
        <v>475</v>
      </c>
      <c r="BO145" s="160" t="s">
        <v>46</v>
      </c>
      <c r="BP145" s="212" t="s">
        <v>11</v>
      </c>
      <c r="BQ145" s="211" t="s">
        <v>473</v>
      </c>
      <c r="BR145" s="160" t="s">
        <v>156</v>
      </c>
      <c r="BS145" s="160" t="s">
        <v>476</v>
      </c>
      <c r="BT145" s="160" t="s">
        <v>477</v>
      </c>
      <c r="BU145" s="160" t="s">
        <v>478</v>
      </c>
      <c r="BV145" s="160" t="s">
        <v>479</v>
      </c>
      <c r="BW145" s="160" t="s">
        <v>480</v>
      </c>
      <c r="BX145" s="160" t="s">
        <v>481</v>
      </c>
      <c r="BY145" s="160" t="s">
        <v>449</v>
      </c>
      <c r="BZ145" s="160" t="s">
        <v>157</v>
      </c>
      <c r="CA145" s="160" t="s">
        <v>474</v>
      </c>
      <c r="CB145" s="160" t="s">
        <v>475</v>
      </c>
      <c r="CC145" s="160" t="s">
        <v>46</v>
      </c>
      <c r="CD145" s="212" t="s">
        <v>11</v>
      </c>
      <c r="CE145" s="211" t="s">
        <v>473</v>
      </c>
      <c r="CF145" s="160" t="s">
        <v>156</v>
      </c>
      <c r="CG145" s="160" t="s">
        <v>476</v>
      </c>
      <c r="CH145" s="160" t="s">
        <v>477</v>
      </c>
      <c r="CI145" s="160" t="s">
        <v>478</v>
      </c>
      <c r="CJ145" s="160" t="s">
        <v>479</v>
      </c>
      <c r="CK145" s="160" t="s">
        <v>480</v>
      </c>
      <c r="CL145" s="160" t="s">
        <v>481</v>
      </c>
      <c r="CM145" s="160" t="s">
        <v>449</v>
      </c>
      <c r="CN145" s="160" t="s">
        <v>157</v>
      </c>
      <c r="CO145" s="160" t="s">
        <v>474</v>
      </c>
      <c r="CP145" s="160" t="s">
        <v>475</v>
      </c>
      <c r="CQ145" s="160" t="s">
        <v>46</v>
      </c>
      <c r="CR145" s="212" t="s">
        <v>11</v>
      </c>
      <c r="CV145" s="263"/>
      <c r="CW145" s="263"/>
      <c r="CX145" s="264" t="s">
        <v>156</v>
      </c>
      <c r="CY145" s="264" t="s">
        <v>479</v>
      </c>
      <c r="CZ145" s="264" t="s">
        <v>480</v>
      </c>
      <c r="DA145" s="264" t="s">
        <v>157</v>
      </c>
      <c r="DB145" s="264" t="s">
        <v>156</v>
      </c>
      <c r="DC145" s="264" t="s">
        <v>479</v>
      </c>
      <c r="DD145" s="264" t="s">
        <v>480</v>
      </c>
      <c r="DE145" s="264" t="s">
        <v>157</v>
      </c>
      <c r="DF145" s="264" t="s">
        <v>156</v>
      </c>
      <c r="DG145" s="264" t="s">
        <v>479</v>
      </c>
      <c r="DH145" s="264" t="s">
        <v>480</v>
      </c>
      <c r="DI145" s="264" t="s">
        <v>157</v>
      </c>
      <c r="DJ145" s="264" t="s">
        <v>156</v>
      </c>
      <c r="DK145" s="264" t="s">
        <v>479</v>
      </c>
      <c r="DL145" s="264" t="s">
        <v>480</v>
      </c>
      <c r="DM145" s="264" t="s">
        <v>157</v>
      </c>
      <c r="DN145" s="264" t="s">
        <v>156</v>
      </c>
      <c r="DO145" s="264" t="s">
        <v>479</v>
      </c>
      <c r="DP145" s="264" t="s">
        <v>480</v>
      </c>
      <c r="DQ145" s="264" t="s">
        <v>157</v>
      </c>
      <c r="DR145" s="264" t="s">
        <v>156</v>
      </c>
      <c r="DS145" s="264" t="s">
        <v>479</v>
      </c>
      <c r="DT145" s="264" t="s">
        <v>480</v>
      </c>
      <c r="DU145" s="264" t="s">
        <v>157</v>
      </c>
      <c r="DW145" s="278"/>
      <c r="DX145" s="278"/>
      <c r="DY145" s="280" t="s">
        <v>586</v>
      </c>
      <c r="DZ145" s="280" t="s">
        <v>259</v>
      </c>
      <c r="EB145" s="278"/>
      <c r="EC145" s="278"/>
      <c r="ED145" s="280" t="s">
        <v>586</v>
      </c>
      <c r="EE145" s="280" t="s">
        <v>259</v>
      </c>
      <c r="EL145" s="306" t="s">
        <v>565</v>
      </c>
      <c r="EM145" s="306" t="s">
        <v>566</v>
      </c>
      <c r="EN145" s="306" t="s">
        <v>567</v>
      </c>
      <c r="EO145" s="306" t="s">
        <v>563</v>
      </c>
      <c r="EP145" s="307" t="s">
        <v>598</v>
      </c>
      <c r="EQ145" s="307" t="s">
        <v>586</v>
      </c>
      <c r="ER145" s="307" t="s">
        <v>259</v>
      </c>
      <c r="ET145" s="420" t="s">
        <v>565</v>
      </c>
      <c r="EU145" s="420" t="s">
        <v>566</v>
      </c>
      <c r="EV145" s="420" t="s">
        <v>567</v>
      </c>
      <c r="EW145" s="420" t="s">
        <v>563</v>
      </c>
      <c r="EX145" s="421" t="s">
        <v>598</v>
      </c>
      <c r="EY145" s="421" t="s">
        <v>586</v>
      </c>
      <c r="EZ145" s="421" t="s">
        <v>259</v>
      </c>
      <c r="FA145" s="424" t="s">
        <v>866</v>
      </c>
      <c r="FD145" s="306" t="s">
        <v>565</v>
      </c>
      <c r="FE145" s="306" t="s">
        <v>566</v>
      </c>
      <c r="FF145" s="306" t="s">
        <v>567</v>
      </c>
      <c r="FG145" s="306" t="s">
        <v>563</v>
      </c>
      <c r="FH145" s="307" t="s">
        <v>598</v>
      </c>
      <c r="FI145" s="307" t="s">
        <v>586</v>
      </c>
      <c r="FJ145" s="307" t="s">
        <v>259</v>
      </c>
      <c r="FL145" s="101"/>
      <c r="FM145" s="101"/>
      <c r="FN145" s="101"/>
      <c r="FO145" s="101"/>
      <c r="FP145" s="374"/>
      <c r="FQ145" s="374"/>
      <c r="FR145" s="374"/>
    </row>
    <row r="146" spans="1:174">
      <c r="A146" s="205"/>
      <c r="B146" s="205" t="s">
        <v>12</v>
      </c>
      <c r="C146" s="400">
        <f>$AB61*KTDB_TripDistribution_2025!T$12 * (1+KTDB_발생량도착량_증가율!$C$7*2)</f>
        <v>65.677597824107181</v>
      </c>
      <c r="D146" s="400">
        <f>$AB61*KTDB_TripDistribution_2025!U$12 * (1+KTDB_발생량도착량_증가율!$C$7*2)</f>
        <v>475.32221188782279</v>
      </c>
      <c r="E146" s="400">
        <f>$AB61*KTDB_TripDistribution_2025!V$12 * (1+KTDB_발생량도착량_증가율!$C$7*2)</f>
        <v>27.268058774732594</v>
      </c>
      <c r="F146" s="400">
        <f>$AB61*KTDB_TripDistribution_2025!W$12 * (1+KTDB_발생량도착량_증가율!$C$7*2)</f>
        <v>4.2851847210161144E-2</v>
      </c>
      <c r="G146" s="400">
        <f>$AB61*KTDB_TripDistribution_2025!X$12 * (1+KTDB_발생량도착량_증가율!$C$7*2)</f>
        <v>0.16188475612727604</v>
      </c>
      <c r="H146" s="400">
        <f>$AB61*KTDB_TripDistribution_2025!Y$12 * (1+KTDB_발생량도착량_증가율!$C$7*2)</f>
        <v>568.47260509000012</v>
      </c>
      <c r="J146" s="230">
        <f t="shared" ref="J146:J150" si="63">CR146</f>
        <v>568.47260509</v>
      </c>
      <c r="K146" s="206"/>
      <c r="L146" s="206" t="s">
        <v>12</v>
      </c>
      <c r="M146" s="206">
        <f>INDEX($A$145:$H$158,MATCH($L146,$B$145:$B$158,0),MATCH($M$144,$A$145:$H$145,0))*고양시_Modal_split!C$3 * 0.01</f>
        <v>0.18389727390750008</v>
      </c>
      <c r="N146" s="206">
        <f>INDEX($A$145:$H$158,MATCH($L146,$B$145:$B$158,0),MATCH($M$144,$A$145:$H$145,0))*고양시_Modal_split!D$3 * 0.01</f>
        <v>30.888174256677608</v>
      </c>
      <c r="O146" s="206">
        <f>INDEX($A$145:$H$158,MATCH($L146,$B$145:$B$158,0),MATCH($M$144,$A$145:$H$145,0))*고양시_Modal_split!E$3 * 0.01</f>
        <v>3.7370553161916984</v>
      </c>
      <c r="P146" s="206">
        <f>INDEX($A$145:$H$158,MATCH($L146,$B$145:$B$158,0),MATCH($M$144,$A$145:$H$145,0))*고양시_Modal_split!F$3 * 0.01</f>
        <v>6.0226357204706291</v>
      </c>
      <c r="Q146" s="206">
        <f>INDEX($A$145:$H$158,MATCH($L146,$B$145:$B$158,0),MATCH($M$144,$A$145:$H$145,0))*고양시_Modal_split!G$3 * 0.01</f>
        <v>0.604233899981786</v>
      </c>
      <c r="R146" s="206">
        <f>INDEX($A$145:$H$158,MATCH($L146,$B$145:$B$158,0),MATCH($M$144,$A$145:$H$145,0))*고양시_Modal_split!H$3 * 0.01</f>
        <v>6.5677597824107181E-3</v>
      </c>
      <c r="S146" s="206">
        <f>INDEX($A$145:$H$158,MATCH($L146,$B$145:$B$158,0),MATCH($M$144,$A$145:$H$145,0))*고양시_Modal_split!I$3 * 0.01</f>
        <v>1.8258372195101797</v>
      </c>
      <c r="T146" s="206">
        <f>INDEX($A$145:$H$158,MATCH($L146,$B$145:$B$158,0),MATCH($M$144,$A$145:$H$145,0))*고양시_Modal_split!J$3 * 0.01</f>
        <v>19.992260777658228</v>
      </c>
      <c r="U146" s="206">
        <f>INDEX($A$145:$H$158,MATCH($L146,$B$145:$B$158,0),MATCH($M$144,$A$145:$H$145,0))*고양시_Modal_split!K$3 * 0.01</f>
        <v>9.8516396736160777E-2</v>
      </c>
      <c r="V146" s="206">
        <f>INDEX($A$145:$H$158,MATCH($L146,$B$145:$B$158,0),MATCH($M$144,$A$145:$H$145,0))*고양시_Modal_split!L$3 * 0.01</f>
        <v>1.9834634542880369</v>
      </c>
      <c r="W146" s="206">
        <f>INDEX($A$145:$H$158,MATCH($L146,$B$145:$B$158,0),MATCH($M$144,$A$145:$H$145,0))*고양시_Modal_split!M$3 * 0.01</f>
        <v>0.1510584749954465</v>
      </c>
      <c r="X146" s="206">
        <f>INDEX($A$145:$H$158,MATCH($L146,$B$145:$B$158,0),MATCH($M$144,$A$145:$H$145,0))*고양시_Modal_split!N$3 * 0.01</f>
        <v>6.5677597824107176E-2</v>
      </c>
      <c r="Y146" s="206">
        <f>INDEX($A$145:$H$158,MATCH($L146,$B$145:$B$158,0),MATCH($M$144,$A$145:$H$145,0))*고양시_Modal_split!O$3 * 0.01</f>
        <v>0.11821967608339293</v>
      </c>
      <c r="Z146" s="209">
        <f>INDEX($A$145:$H$158,MATCH($L146,$B$145:$B$158,0),MATCH($M$144,$A$145:$H$145,0))*고양시_Modal_split!P$3 * 0.01</f>
        <v>65.677597824107181</v>
      </c>
      <c r="AA146" s="207">
        <f>INDEX($A$145:$H$158,MATCH($L146,$B$145:$B$158,0),MATCH($AA$144,$A$145:$H$145,0))*고양시_Modal_split!C$3 * 0.01</f>
        <v>1.3309021932859038</v>
      </c>
      <c r="AB146" s="207">
        <f>INDEX($A$145:$H$158,MATCH($L146,$B$145:$B$158,0),MATCH($AA$144,$A$145:$H$145,0))*고양시_Modal_split!D$3 * 0.01</f>
        <v>223.54403625084305</v>
      </c>
      <c r="AC146" s="207">
        <f>INDEX($A$145:$H$158,MATCH($L146,$B$145:$B$158,0),MATCH($AA$144,$A$145:$H$145,0))*고양시_Modal_split!E$3 * 0.01</f>
        <v>27.045833856417119</v>
      </c>
      <c r="AD146" s="207">
        <f>INDEX($A$145:$H$158,MATCH($L146,$B$145:$B$158,0),MATCH($AA$144,$A$145:$H$145,0))*고양시_Modal_split!F$3 * 0.01</f>
        <v>43.587046830113351</v>
      </c>
      <c r="AE146" s="207">
        <f>INDEX($A$145:$H$158,MATCH($L146,$B$145:$B$158,0),MATCH($AA$144,$A$145:$H$145,0))*고양시_Modal_split!G$3 * 0.01</f>
        <v>4.3729643493679689</v>
      </c>
      <c r="AF146" s="207">
        <f>INDEX($A$145:$H$158,MATCH($L146,$B$145:$B$158,0),MATCH($AA$144,$A$145:$H$145,0))*고양시_Modal_split!H$3 * 0.01</f>
        <v>4.7532221188782281E-2</v>
      </c>
      <c r="AG146" s="207">
        <f>INDEX($A$145:$H$158,MATCH($L146,$B$145:$B$158,0),MATCH($AA$144,$A$145:$H$145,0))*고양시_Modal_split!I$3 * 0.01</f>
        <v>13.213957490481473</v>
      </c>
      <c r="AH146" s="207">
        <f>INDEX($A$145:$H$158,MATCH($L146,$B$145:$B$158,0),MATCH($AA$144,$A$145:$H$145,0))*고양시_Modal_split!J$3 * 0.01</f>
        <v>144.68808129865326</v>
      </c>
      <c r="AI146" s="207">
        <f>INDEX($A$145:$H$158,MATCH($L146,$B$145:$B$158,0),MATCH($AA$144,$A$145:$H$145,0))*고양시_Modal_split!K$3 * 0.01</f>
        <v>0.71298331783173408</v>
      </c>
      <c r="AJ146" s="207">
        <f>INDEX($A$145:$H$158,MATCH($L146,$B$145:$B$158,0),MATCH($AA$144,$A$145:$H$145,0))*고양시_Modal_split!L$3 * 0.01</f>
        <v>14.354730799012248</v>
      </c>
      <c r="AK146" s="207">
        <f>INDEX($A$145:$H$158,MATCH($L146,$B$145:$B$158,0),MATCH($AA$144,$A$145:$H$145,0))*고양시_Modal_split!M$3 * 0.01</f>
        <v>1.0932410873419922</v>
      </c>
      <c r="AL146" s="207">
        <f>INDEX($A$145:$H$158,MATCH($L146,$B$145:$B$158,0),MATCH($AA$144,$A$145:$H$145,0))*고양시_Modal_split!N$3 * 0.01</f>
        <v>0.47532221188782281</v>
      </c>
      <c r="AM146" s="207">
        <f>INDEX($A$145:$H$158,MATCH($L146,$B$145:$B$158,0),MATCH($AA$144,$A$145:$H$145,0))*고양시_Modal_split!O$3 * 0.01</f>
        <v>0.85557998139808089</v>
      </c>
      <c r="AN146" s="207">
        <f>INDEX($A$145:$H$158,MATCH($L146,$B$145:$B$158,0),MATCH($AA$144,$A$145:$H$145,0))*고양시_Modal_split!P$3 * 0.01</f>
        <v>475.32221188782279</v>
      </c>
      <c r="AO146" s="303">
        <f>INDEX($A$145:$H$158,MATCH($L146,$B$145:$B$158,0),MATCH($AO$144,$A$145:$H$145,0))*고양시_Modal_split!C$3 * 0.01</f>
        <v>7.6350564569251253E-2</v>
      </c>
      <c r="AP146" s="303">
        <f>INDEX($A$145:$H$158,MATCH($L146,$B$145:$B$158,0),MATCH($AO$144,$A$145:$H$145,0))*고양시_Modal_split!D$3 * 0.01</f>
        <v>12.824168041756739</v>
      </c>
      <c r="AQ146" s="303">
        <f>INDEX($A$145:$H$158,MATCH($L146,$B$145:$B$158,0),MATCH($AO$144,$A$145:$H$145,0))*고양시_Modal_split!E$3 * 0.01</f>
        <v>1.5515525442822846</v>
      </c>
      <c r="AR146" s="303">
        <f>INDEX($A$145:$H$158,MATCH($L146,$B$145:$B$158,0),MATCH($AO$144,$A$145:$H$145,0))*고양시_Modal_split!F$3 * 0.01</f>
        <v>2.5004809896429787</v>
      </c>
      <c r="AS146" s="303">
        <f>INDEX($A$145:$H$158,MATCH($L146,$B$145:$B$158,0),MATCH($AO$144,$A$145:$H$145,0))*고양시_Modal_split!G$3 * 0.01</f>
        <v>0.25086614072753988</v>
      </c>
      <c r="AT146" s="303">
        <f>INDEX($A$145:$H$158,MATCH($L146,$B$145:$B$158,0),MATCH($AO$144,$A$145:$H$145,0))*고양시_Modal_split!H$3 * 0.01</f>
        <v>2.7268058774732595E-3</v>
      </c>
      <c r="AU146" s="303">
        <f>INDEX($A$145:$H$158,MATCH($L146,$B$145:$B$158,0),MATCH($AO$144,$A$145:$H$145,0))*고양시_Modal_split!I$3 * 0.01</f>
        <v>0.75805203393756615</v>
      </c>
      <c r="AV146" s="303">
        <f>INDEX($A$145:$H$158,MATCH($L146,$B$145:$B$158,0),MATCH($AO$144,$A$145:$H$145,0))*고양시_Modal_split!J$3 * 0.01</f>
        <v>8.3003970910286018</v>
      </c>
      <c r="AW146" s="303">
        <f>INDEX($A$145:$H$158,MATCH($L146,$B$145:$B$158,0),MATCH($AO$144,$A$145:$H$145,0))*고양시_Modal_split!K$3 * 0.01</f>
        <v>4.0902088162098886E-2</v>
      </c>
      <c r="AX146" s="303">
        <f>INDEX($A$145:$H$158,MATCH($L146,$B$145:$B$158,0),MATCH($AO$144,$A$145:$H$145,0))*고양시_Modal_split!L$3 * 0.01</f>
        <v>0.82349537499692438</v>
      </c>
      <c r="AY146" s="303">
        <f>INDEX($A$145:$H$158,MATCH($L146,$B$145:$B$158,0),MATCH($AO$144,$A$145:$H$145,0))*고양시_Modal_split!M$3 * 0.01</f>
        <v>6.2716535181884969E-2</v>
      </c>
      <c r="AZ146" s="303">
        <f>INDEX($A$145:$H$158,MATCH($L146,$B$145:$B$158,0),MATCH($AO$144,$A$145:$H$145,0))*고양시_Modal_split!N$3 * 0.01</f>
        <v>2.7268058774732595E-2</v>
      </c>
      <c r="BA146" s="207">
        <f>INDEX($A$145:$H$158,MATCH($L146,$B$145:$B$158,0),MATCH($AO$144,$A$145:$H$145,0))*고양시_Modal_split!O$3 * 0.01</f>
        <v>4.9082505794518672E-2</v>
      </c>
      <c r="BB146" s="207">
        <f>INDEX($A$145:$H$158,MATCH($L146,$B$145:$B$158,0),MATCH($AO$144,$A$145:$H$145,0))*고양시_Modal_split!P$3 * 0.01</f>
        <v>27.268058774732594</v>
      </c>
      <c r="BC146" s="207">
        <f>INDEX($A$145:$H$158,MATCH($L146,$B$145:$B$158,0),MATCH($BC$144,$A$145:$H$145,0))*고양시_Modal_split!C$3 * 0.01</f>
        <v>1.199851721884512E-4</v>
      </c>
      <c r="BD146" s="207">
        <f>INDEX($A$145:$H$158,MATCH($L146,$B$145:$B$158,0),MATCH($BC$144,$A$145:$H$145,0))*고양시_Modal_split!D$3 * 0.01</f>
        <v>2.0153223742938788E-2</v>
      </c>
      <c r="BE146" s="207">
        <f>INDEX($A$145:$H$158,MATCH($L146,$B$145:$B$158,0),MATCH($BC$144,$A$145:$H$145,0))*고양시_Modal_split!E$3 * 0.01</f>
        <v>2.4382701062581687E-3</v>
      </c>
      <c r="BF146" s="207">
        <f>INDEX($A$145:$H$158,MATCH($L146,$B$145:$B$158,0),MATCH($BC$144,$A$145:$H$145,0))*고양시_Modal_split!F$3 * 0.01</f>
        <v>3.9295143891717775E-3</v>
      </c>
      <c r="BG146" s="207">
        <f>INDEX($A$145:$H$158,MATCH($L146,$B$145:$B$158,0),MATCH($BC$144,$A$145:$H$145,0))*고양시_Modal_split!G$3 * 0.01</f>
        <v>3.9423699433348253E-4</v>
      </c>
      <c r="BH146" s="207">
        <f>INDEX($A$145:$H$158,MATCH($L146,$B$145:$B$158,0),MATCH($BC$144,$A$145:$H$145,0))*고양시_Modal_split!H$3 * 0.01</f>
        <v>4.2851847210161148E-6</v>
      </c>
      <c r="BI146" s="207">
        <f>INDEX($A$145:$H$158,MATCH($L146,$B$145:$B$158,0),MATCH($BC$144,$A$145:$H$145,0))*고양시_Modal_split!I$3 * 0.01</f>
        <v>1.1912813524424797E-3</v>
      </c>
      <c r="BJ146" s="207">
        <f>INDEX($A$145:$H$158,MATCH($L146,$B$145:$B$158,0),MATCH($BC$144,$A$145:$H$145,0))*고양시_Modal_split!J$3 * 0.01</f>
        <v>1.3044102290773052E-2</v>
      </c>
      <c r="BK146" s="207">
        <f>INDEX($A$145:$H$158,MATCH($L146,$B$145:$B$158,0),MATCH($BC$144,$A$145:$H$145,0))*고양시_Modal_split!K$3 * 0.01</f>
        <v>6.4277770815241708E-5</v>
      </c>
      <c r="BL146" s="207">
        <f>INDEX($A$145:$H$158,MATCH($L146,$B$145:$B$158,0),MATCH($BC$144,$A$145:$H$145,0))*고양시_Modal_split!L$3 * 0.01</f>
        <v>1.2941257857468666E-3</v>
      </c>
      <c r="BM146" s="207">
        <f>INDEX($A$145:$H$158,MATCH($L146,$B$145:$B$158,0),MATCH($BC$144,$A$145:$H$145,0))*고양시_Modal_split!M$3 * 0.01</f>
        <v>9.8559248583370633E-5</v>
      </c>
      <c r="BN146" s="207">
        <f>INDEX($A$145:$H$158,MATCH($L146,$B$145:$B$158,0),MATCH($BC$144,$A$145:$H$145,0))*고양시_Modal_split!N$3 * 0.01</f>
        <v>4.285184721016115E-5</v>
      </c>
      <c r="BO146" s="207">
        <f>INDEX($A$145:$H$158,MATCH($L146,$B$145:$B$158,0),MATCH($BC$144,$A$145:$H$145,0))*고양시_Modal_split!O$3 * 0.01</f>
        <v>7.7133324978290055E-5</v>
      </c>
      <c r="BP146" s="207">
        <f>INDEX($A$145:$H$158,MATCH($L146,$B$145:$B$158,0),MATCH($BC$144,$A$145:$H$145,0))*고양시_Modal_split!P$3 * 0.01</f>
        <v>4.2851847210161144E-2</v>
      </c>
      <c r="BQ146" s="207">
        <f>INDEX($A$145:$H$158,MATCH($L146,$B$145:$B$158,0),MATCH($BQ$144,$A$145:$H$145,0))*고양시_Modal_split!C$3 * 0.01</f>
        <v>4.5327731715637292E-4</v>
      </c>
      <c r="BR146" s="207">
        <f>INDEX($A$145:$H$158,MATCH($L146,$B$145:$B$158,0),MATCH($BQ$144,$A$145:$H$145,0))*고양시_Modal_split!D$3 * 0.01</f>
        <v>7.6134400806657926E-2</v>
      </c>
      <c r="BS146" s="207">
        <f>INDEX($A$145:$H$158,MATCH($L146,$B$145:$B$158,0),MATCH($BQ$144,$A$145:$H$145,0))*고양시_Modal_split!E$3 * 0.01</f>
        <v>9.2112426236420058E-3</v>
      </c>
      <c r="BT146" s="207">
        <f>INDEX($A$145:$H$158,MATCH($L146,$B$145:$B$158,0),MATCH($BQ$144,$A$145:$H$145,0))*고양시_Modal_split!F$3 * 0.01</f>
        <v>1.4844832136871213E-2</v>
      </c>
      <c r="BU146" s="207">
        <f>INDEX($A$145:$H$158,MATCH($L146,$B$145:$B$158,0),MATCH($BQ$144,$A$145:$H$145,0))*고양시_Modal_split!G$3 * 0.01</f>
        <v>1.4893397563709395E-3</v>
      </c>
      <c r="BV146" s="207">
        <f>INDEX($A$145:$H$158,MATCH($L146,$B$145:$B$158,0),MATCH($BQ$144,$A$145:$H$145,0))*고양시_Modal_split!H$3 * 0.01</f>
        <v>1.6188475612727606E-5</v>
      </c>
      <c r="BW146" s="207">
        <f>INDEX($A$145:$H$158,MATCH($L146,$B$145:$B$158,0),MATCH($BQ$144,$A$145:$H$145,0))*고양시_Modal_split!I$3 * 0.01</f>
        <v>4.5003962203382739E-3</v>
      </c>
      <c r="BX146" s="207">
        <f>INDEX($A$145:$H$158,MATCH($L146,$B$145:$B$158,0),MATCH($BQ$144,$A$145:$H$145,0))*고양시_Modal_split!J$3 * 0.01</f>
        <v>4.9277719765142829E-2</v>
      </c>
      <c r="BY146" s="207">
        <f>INDEX($A$145:$H$158,MATCH($L146,$B$145:$B$158,0),MATCH($BQ$144,$A$145:$H$145,0))*고양시_Modal_split!K$3 * 0.01</f>
        <v>2.4282713419091406E-4</v>
      </c>
      <c r="BZ146" s="207">
        <f>INDEX($A$145:$H$158,MATCH($L146,$B$145:$B$158,0),MATCH($BQ$144,$A$145:$H$145,0))*고양시_Modal_split!L$3 * 0.01</f>
        <v>4.8889196350437366E-3</v>
      </c>
      <c r="CA146" s="207">
        <f>INDEX($A$145:$H$158,MATCH($L146,$B$145:$B$158,0),MATCH($BQ$144,$A$145:$H$145,0))*고양시_Modal_split!M$3 * 0.01</f>
        <v>3.7233493909273488E-4</v>
      </c>
      <c r="CB146" s="207">
        <f>INDEX($A$145:$H$158,MATCH($L146,$B$145:$B$158,0),MATCH($BQ$144,$A$145:$H$145,0))*고양시_Modal_split!N$3 * 0.01</f>
        <v>1.6188475612727605E-4</v>
      </c>
      <c r="CC146" s="207">
        <f>INDEX($A$145:$H$158,MATCH($L146,$B$145:$B$158,0),MATCH($BQ$144,$A$145:$H$145,0))*고양시_Modal_split!O$3 * 0.01</f>
        <v>2.913925610290969E-4</v>
      </c>
      <c r="CD146" s="207">
        <f>INDEX($A$145:$H$158,MATCH($L146,$B$145:$B$158,0),MATCH($BQ$144,$A$145:$H$145,0))*고양시_Modal_split!P$3 * 0.01</f>
        <v>0.16188475612727604</v>
      </c>
      <c r="CE146" s="304">
        <f>M146+AA146+AO146+BC146+BQ146</f>
        <v>1.5917232942519999</v>
      </c>
      <c r="CF146" s="304">
        <f t="shared" ref="CF146:CF158" si="64">N146+AB146+AP146+BD146+BR146</f>
        <v>267.35266617382706</v>
      </c>
      <c r="CG146" s="304">
        <f t="shared" ref="CG146:CG158" si="65">O146+AC146+AQ146+BE146+BS146</f>
        <v>32.34609122962101</v>
      </c>
      <c r="CH146" s="304">
        <f t="shared" ref="CH146:CH158" si="66">P146+AD146+AR146+BF146+BT146</f>
        <v>52.128937886753008</v>
      </c>
      <c r="CI146" s="304">
        <f t="shared" ref="CI146:CI158" si="67">Q146+AE146+AS146+BG146+BU146</f>
        <v>5.2299479668279991</v>
      </c>
      <c r="CJ146" s="304">
        <f t="shared" ref="CJ146:CJ158" si="68">R146+AF146+AT146+BH146+BV146</f>
        <v>5.6847260509000005E-2</v>
      </c>
      <c r="CK146" s="304">
        <f t="shared" ref="CK146:CK158" si="69">S146+AG146+AU146+BI146+BW146</f>
        <v>15.803538421502001</v>
      </c>
      <c r="CL146" s="304">
        <f t="shared" ref="CL146:CL158" si="70">T146+AH146+AV146+BJ146+BX146</f>
        <v>173.043060989396</v>
      </c>
      <c r="CM146" s="304">
        <f t="shared" ref="CM146:CM158" si="71">U146+AI146+AW146+BK146+BY146</f>
        <v>0.85270890763499974</v>
      </c>
      <c r="CN146" s="304">
        <f t="shared" ref="CN146:CN158" si="72">V146+AJ146+AX146+BL146+BZ146</f>
        <v>17.167872673718001</v>
      </c>
      <c r="CO146" s="304">
        <f t="shared" ref="CO146:CO158" si="73">W146+AK146+AY146+BM146+CA146</f>
        <v>1.3074869917069998</v>
      </c>
      <c r="CP146" s="304">
        <f t="shared" ref="CP146:CP158" si="74">X146+AL146+AZ146+BN146+CB146</f>
        <v>0.56847260509000008</v>
      </c>
      <c r="CQ146" s="304">
        <f t="shared" ref="CQ146:CQ158" si="75">Y146+AM146+BA146+BO146+CC146</f>
        <v>1.0232506891619997</v>
      </c>
      <c r="CR146" s="304">
        <f t="shared" ref="CR146:CR158" si="76">Z146+AN146+BB146+BP146+CD146</f>
        <v>568.47260509</v>
      </c>
      <c r="CS146" s="305">
        <f>H146-CR146</f>
        <v>0</v>
      </c>
      <c r="CV146" s="265"/>
      <c r="CW146" s="265" t="s">
        <v>12</v>
      </c>
      <c r="CX146" s="267">
        <f>INDEX($M$144:$Z$158,MATCH($CW146,$L$144:$L$158,0),MATCH(CX$145,$M$145:$Z$145,0))/INDEX(고양시_재차인원!$D$4:$H$35,MATCH("고양시",고양시_재차인원!$B$4:$B$35,0),MATCH($CX$144,고양시_재차인원!$D$4:$H$4,0))</f>
        <v>27.57872701489072</v>
      </c>
      <c r="CY146" s="267">
        <f>INDEX($M$144:$Z$158,MATCH($CW146,$L$144:$L$158,0),MATCH(CY$145,$M$145:$Z$145,0))/INDEX(고양시_재차인원!$K$4:$O$20,MATCH("경기도",고양시_재차인원!$K$4:$K$20,0),MATCH(CY$145,고양시_재차인원!$K$4:$O$4,0))</f>
        <v>2.2812642523135527E-4</v>
      </c>
      <c r="CZ146" s="267">
        <f>INDEX($M$144:$Z$158,MATCH($CW146,$L$144:$L$158,0),MATCH(CZ$145,$M$145:$Z$145,0))/INDEX(고양시_재차인원!$K$4:$O$20,MATCH("경기도",고양시_재차인원!$K$4:$K$20,0),MATCH(CZ$145,고양시_재차인원!$K$4:$O$4,0))</f>
        <v>6.3419146214316768E-2</v>
      </c>
      <c r="DA146" s="267">
        <f>INDEX($M$144:$Z$158,MATCH($CW146,$L$144:$L$158,0),MATCH(DA$145,$M$145:$Z$145,0))/INDEX(고양시_재차인원!$D$4:$H$35,MATCH("고양시",고양시_재차인원!$B$4:$B$35,0),MATCH($CX$144,고양시_재차인원!$D$4:$H$4,0))</f>
        <v>1.7709495127571757</v>
      </c>
      <c r="DB146" s="267">
        <f>INDEX($AA$144:$AN$158,MATCH($CW146,$L$144:$L$158,0),MATCH(DB$145,$AA$145:$AN$145,0))/INDEX(고양시_재차인원!$D$4:$H$35,MATCH("고양시",고양시_재차인원!$B$4:$B$35,0),MATCH($DB$144,고양시_재차인원!$D$4:$H$4,0))</f>
        <v>158.54186968144899</v>
      </c>
      <c r="DC146" s="267">
        <f>INDEX($AA$144:$AN$158,MATCH($CW146,$L$144:$L$158,0),MATCH(DC$145,$AA$145:$AN$145,0))/INDEX(고양시_재차인원!$K$4:$O$20,MATCH("경기도",고양시_재차인원!$K$4:$K$20,0),MATCH(DC$145,고양시_재차인원!$K$4:$O$4,0))</f>
        <v>1.6509976098917083E-3</v>
      </c>
      <c r="DD146" s="267">
        <f>INDEX($AA$144:$AN$158,MATCH($CW146,$L$144:$L$158,0),MATCH(DD$145,$AA$145:$AN$145,0))/INDEX(고양시_재차인원!$K$4:$O$20,MATCH("경기도",고양시_재차인원!$K$4:$K$20,0),MATCH(DD$145,고양시_재차인원!$K$4:$O$4,0))</f>
        <v>0.45897733554989489</v>
      </c>
      <c r="DE146" s="267">
        <f>INDEX($AA$144:$AN$158,MATCH($CW146,$L$144:$L$158,0),MATCH(DE$145,$AA$145:$AN$145,0))/INDEX(고양시_재차인원!$D$4:$H$35,MATCH("고양시",고양시_재차인원!$B$4:$B$35,0),MATCH($DB$144,고양시_재차인원!$D$4:$H$4,0))</f>
        <v>10.18066014114344</v>
      </c>
      <c r="DF146" s="267">
        <f>INDEX($AO$144:$BB$158,MATCH($CW146,$L$144:$L$158,0),MATCH(DF$145,$AO$145:$BB$145,0))/INDEX(고양시_재차인원!$D$4:$H$35,MATCH("고양시",고양시_재차인원!$B$4:$B$35,0),MATCH($DF$144,고양시_재차인원!$D$4:$H$4,0))</f>
        <v>9.8647446475051837</v>
      </c>
      <c r="DG146" s="267">
        <f>INDEX($AO$144:$BB$158,MATCH($CW146,$L$144:$L$158,0),MATCH(DG$145,$AO$145:$BB$145,0))/INDEX(고양시_재차인원!$K$4:$O$20,MATCH("경기도",고양시_재차인원!$K$4:$K$20,0),MATCH(DG$145,고양시_재차인원!$K$4:$O$4,0))</f>
        <v>9.4713646317237223E-5</v>
      </c>
      <c r="DH146" s="267">
        <f>INDEX($AO$144:$BB$158,MATCH($CW146,$L$144:$L$158,0),MATCH(DH$145,$AO$145:$BB$145,0))/INDEX(고양시_재차인원!$K$4:$O$20,MATCH("경기도",고양시_재차인원!$K$4:$K$20,0),MATCH(DH$145,고양시_재차인원!$K$4:$O$4,0))</f>
        <v>2.6330393676191947E-2</v>
      </c>
      <c r="DI146" s="267">
        <f>INDEX($AO$144:$BB$158,MATCH($CW146,$L$144:$L$158,0),MATCH(DI$145,$AO$145:$BB$145,0))/INDEX(고양시_재차인원!$D$4:$H$35,MATCH("고양시",고양시_재차인원!$B$4:$B$35,0),MATCH($DF$144,고양시_재차인원!$D$4:$H$4,0))</f>
        <v>0.63345798076686488</v>
      </c>
      <c r="DJ146" s="267">
        <f>INDEX($BC$144:$BP$158,MATCH($CW146,$L$144:$L$158,0),MATCH(DJ$145,$BC$145:$BP$145,0))/INDEX(고양시_재차인원!$D$4:$H$35,MATCH("고양시",고양시_재차인원!$B$4:$B$35,0),MATCH($DJ$144,고양시_재차인원!$D$4:$H$4,0))</f>
        <v>1.4818546869807931E-2</v>
      </c>
      <c r="DK146" s="267">
        <f>INDEX($BC$144:$BP$158,MATCH($CW146,$L$144:$L$158,0),MATCH(DK$145,$BC$145:$BP$145,0))/INDEX(고양시_재차인원!$K$4:$O$20,MATCH("경기도",고양시_재차인원!$K$4:$K$20,0),MATCH(DK$145,고양시_재차인원!$K$4:$O$4,0))</f>
        <v>1.4884281768030965E-7</v>
      </c>
      <c r="DL146" s="267">
        <f>INDEX($BC$144:$BP$158,MATCH($CW146,$L$144:$L$158,0),MATCH(DL$145,$BC$145:$BP$145,0))/INDEX(고양시_재차인원!$K$4:$O$20,MATCH("경기도",고양시_재차인원!$K$4:$K$20,0),MATCH(DL$145,고양시_재차인원!$K$4:$O$4,0))</f>
        <v>4.1378303315126077E-5</v>
      </c>
      <c r="DM146" s="267">
        <f>INDEX($BC$144:$BP$158,MATCH($CW146,$L$144:$L$158,0),MATCH(DM$145,$BC$145:$BP$145,0))/INDEX(고양시_재차인원!$D$4:$H$35,MATCH("고양시",고양시_재차인원!$B$4:$B$35,0),MATCH($DJ$144,고양시_재차인원!$D$4:$H$4,0))</f>
        <v>9.5156307775504892E-4</v>
      </c>
      <c r="DN146" s="267">
        <f>INDEX($BQ$144:$CD$158,MATCH($CW146,$L$144:$L$158,0),MATCH(DN$145,$BQ$145:$CD$145,0))/INDEX(고양시_재차인원!$D$4:$H$35,MATCH("고양시",고양시_재차인원!$B$4:$B$35,0),MATCH($DN$144,고양시_재차인원!$D$4:$H$4,0))</f>
        <v>6.0424127624331685E-2</v>
      </c>
      <c r="DO146" s="267">
        <f>INDEX($BQ$144:$CD$158,MATCH($CW146,$L$144:$L$158,0),MATCH(DO$145,$BQ$145:$CD$145,0))/INDEX(고양시_재차인원!$K$4:$O$20,MATCH("경기도",고양시_재차인원!$K$4:$K$20,0),MATCH(DO$145,고양시_재차인원!$K$4:$O$4,0))</f>
        <v>5.622950890145052E-7</v>
      </c>
      <c r="DP146" s="267">
        <f>INDEX($BQ$144:$CD$158,MATCH($CW146,$L$144:$L$158,0),MATCH(DP$145,$BQ$145:$CD$145,0))/INDEX(고양시_재차인원!$K$4:$O$20,MATCH("경기도",고양시_재차인원!$K$4:$K$20,0),MATCH(DP$145,고양시_재차인원!$K$4:$O$4,0))</f>
        <v>1.5631803474603246E-4</v>
      </c>
      <c r="DQ146" s="267">
        <f>INDEX($BQ$144:$CD$158,MATCH($CW146,$L$144:$L$158,0),MATCH(DQ$145,$BQ$145:$CD$145,0))/INDEX(고양시_재차인원!$D$4:$H$35,MATCH("고양시",고양시_재차인원!$B$4:$B$35,0),MATCH($DN$144,고양시_재차인원!$D$4:$H$4,0))</f>
        <v>3.8800949484474102E-3</v>
      </c>
      <c r="DR146" s="270">
        <f>CX146+DB146+DF146+DJ146+DN146</f>
        <v>196.06058401833903</v>
      </c>
      <c r="DS146" s="270">
        <f t="shared" ref="DS146:DS158" si="77">CY146+DC146+DG146+DK146+DO146</f>
        <v>1.9745488193469956E-3</v>
      </c>
      <c r="DT146" s="270">
        <f t="shared" ref="DT146:DT158" si="78">CZ146+DD146+DH146+DL146+DP146</f>
        <v>0.54892457177846476</v>
      </c>
      <c r="DU146" s="270">
        <f t="shared" ref="DU146:DU158" si="79">DA146+DE146+DI146+DM146+DQ146</f>
        <v>12.589899292693683</v>
      </c>
      <c r="DW146" s="278"/>
      <c r="DX146" s="278" t="s">
        <v>12</v>
      </c>
      <c r="DY146" s="281">
        <f>DR146+DU146</f>
        <v>208.6504833110327</v>
      </c>
      <c r="DZ146" s="281">
        <f>DS146+DT146</f>
        <v>0.55089912059781176</v>
      </c>
      <c r="EB146" s="278"/>
      <c r="EC146" s="278" t="s">
        <v>12</v>
      </c>
      <c r="ED146" s="281">
        <f>DY146</f>
        <v>208.6504833110327</v>
      </c>
      <c r="EE146" s="281">
        <f t="shared" ref="EE146:EE158" si="80">DZ146</f>
        <v>0.55089912059781176</v>
      </c>
      <c r="EL146" s="306" t="s">
        <v>12</v>
      </c>
      <c r="EM146" s="306" t="s">
        <v>568</v>
      </c>
      <c r="EN146" s="306">
        <v>8014.2473</v>
      </c>
      <c r="EO146" s="306">
        <v>0.11966025175817722</v>
      </c>
      <c r="EP146" s="307">
        <v>849101</v>
      </c>
      <c r="EQ146" s="308">
        <f>VLOOKUP($EL146,$EC$145:$EE$157,2,FALSE)*$EO146</f>
        <v>24.96716936246353</v>
      </c>
      <c r="ER146" s="308">
        <f>VLOOKUP($EL146,$EC$145:$EE$157,3,FALSE)*$EO146</f>
        <v>6.5920727464092596E-2</v>
      </c>
      <c r="ET146" s="420" t="s">
        <v>12</v>
      </c>
      <c r="EU146" s="420" t="s">
        <v>568</v>
      </c>
      <c r="EV146" s="420">
        <v>8014.2473</v>
      </c>
      <c r="EW146" s="420">
        <v>0.11966025175817722</v>
      </c>
      <c r="EX146" s="421">
        <v>849101</v>
      </c>
      <c r="EY146" s="422">
        <f>EQ146*$AW$11*(1-$AZ$7)</f>
        <v>24.255605035633319</v>
      </c>
      <c r="EZ146" s="422">
        <f t="shared" ref="EZ146:EZ179" si="81">ER146*$AW$11*(1-$AZ$7)</f>
        <v>6.4041986731365963E-2</v>
      </c>
      <c r="FA146">
        <v>0</v>
      </c>
      <c r="FD146" s="306" t="s">
        <v>12</v>
      </c>
      <c r="FE146" s="306" t="s">
        <v>568</v>
      </c>
      <c r="FF146" s="306">
        <v>8014.2473</v>
      </c>
      <c r="FG146" s="306">
        <v>0.11966025175817722</v>
      </c>
      <c r="FH146" s="307">
        <v>849101</v>
      </c>
      <c r="FI146" s="308">
        <f t="shared" ref="FI146:FI179" si="82">EY146*$FB$95</f>
        <v>24.255605035633319</v>
      </c>
      <c r="FJ146" s="308">
        <f t="shared" ref="FJ146:FJ179" si="83">EZ146*$FB$95</f>
        <v>6.4041986731365963E-2</v>
      </c>
      <c r="FL146" s="101"/>
      <c r="FM146" s="101"/>
      <c r="FN146" s="101"/>
      <c r="FO146" s="101"/>
      <c r="FP146" s="374"/>
      <c r="FQ146" s="404"/>
      <c r="FR146" s="404"/>
    </row>
    <row r="147" spans="1:174" ht="25">
      <c r="A147" s="205"/>
      <c r="B147" s="205" t="s">
        <v>668</v>
      </c>
      <c r="C147" s="400">
        <f>$AB62*KTDB_TripDistribution_2025!T$12 * (1+KTDB_발생량도착량_증가율!$C$7*2)</f>
        <v>1430.305284696668</v>
      </c>
      <c r="D147" s="400">
        <f>$AB62*KTDB_TripDistribution_2025!U$12 * (1+KTDB_발생량도착량_증가율!$C$7*2)</f>
        <v>10351.411959639594</v>
      </c>
      <c r="E147" s="400">
        <f>$AB62*KTDB_TripDistribution_2025!V$12 * (1+KTDB_발생량도착량_증가율!$C$7*2)</f>
        <v>593.83488222834637</v>
      </c>
      <c r="F147" s="400">
        <f>$AB62*KTDB_TripDistribution_2025!W$12 * (1+KTDB_발생량도착량_증가율!$C$7*2)</f>
        <v>0.93321353938451324</v>
      </c>
      <c r="G147" s="400">
        <f>$AB62*KTDB_TripDistribution_2025!X$12 * (1+KTDB_발생량도착량_증가율!$C$7*2)</f>
        <v>3.5254733710081738</v>
      </c>
      <c r="H147" s="400">
        <f>$AB62*KTDB_TripDistribution_2025!Y$12 * (1+KTDB_발생량도착량_증가율!$C$7*2)</f>
        <v>12380.010813475001</v>
      </c>
      <c r="J147" s="230">
        <f t="shared" si="63"/>
        <v>12380.010813475001</v>
      </c>
      <c r="K147" s="206"/>
      <c r="L147" s="206" t="s">
        <v>668</v>
      </c>
      <c r="M147" s="206">
        <f>INDEX($A$145:$H$158,MATCH($L147,$B$145:$B$158,0),MATCH($M$144,$A$145:$H$145,0))*고양시_Modal_split!C$3 * 0.01</f>
        <v>4.0048547971506698</v>
      </c>
      <c r="N147" s="206">
        <f>INDEX($A$145:$H$158,MATCH($L147,$B$145:$B$158,0),MATCH($M$144,$A$145:$H$145,0))*고양시_Modal_split!D$3 * 0.01</f>
        <v>672.67257539284299</v>
      </c>
      <c r="O147" s="206">
        <f>INDEX($A$145:$H$158,MATCH($L147,$B$145:$B$158,0),MATCH($M$144,$A$145:$H$145,0))*고양시_Modal_split!E$3 * 0.01</f>
        <v>81.384370699240407</v>
      </c>
      <c r="P147" s="206">
        <f>INDEX($A$145:$H$158,MATCH($L147,$B$145:$B$158,0),MATCH($M$144,$A$145:$H$145,0))*고양시_Modal_split!F$3 * 0.01</f>
        <v>131.15899460668444</v>
      </c>
      <c r="Q147" s="206">
        <f>INDEX($A$145:$H$158,MATCH($L147,$B$145:$B$158,0),MATCH($M$144,$A$145:$H$145,0))*고양시_Modal_split!G$3 * 0.01</f>
        <v>13.158808619209344</v>
      </c>
      <c r="R147" s="206">
        <f>INDEX($A$145:$H$158,MATCH($L147,$B$145:$B$158,0),MATCH($M$144,$A$145:$H$145,0))*고양시_Modal_split!H$3 * 0.01</f>
        <v>0.1430305284696668</v>
      </c>
      <c r="S147" s="206">
        <f>INDEX($A$145:$H$158,MATCH($L147,$B$145:$B$158,0),MATCH($M$144,$A$145:$H$145,0))*고양시_Modal_split!I$3 * 0.01</f>
        <v>39.762486914567369</v>
      </c>
      <c r="T147" s="206">
        <f>INDEX($A$145:$H$158,MATCH($L147,$B$145:$B$158,0),MATCH($M$144,$A$145:$H$145,0))*고양시_Modal_split!J$3 * 0.01</f>
        <v>435.38492866166575</v>
      </c>
      <c r="U147" s="206">
        <f>INDEX($A$145:$H$158,MATCH($L147,$B$145:$B$158,0),MATCH($M$144,$A$145:$H$145,0))*고양시_Modal_split!K$3 * 0.01</f>
        <v>2.145457927045002</v>
      </c>
      <c r="V147" s="206">
        <f>INDEX($A$145:$H$158,MATCH($L147,$B$145:$B$158,0),MATCH($M$144,$A$145:$H$145,0))*고양시_Modal_split!L$3 * 0.01</f>
        <v>43.195219597839369</v>
      </c>
      <c r="W147" s="206">
        <f>INDEX($A$145:$H$158,MATCH($L147,$B$145:$B$158,0),MATCH($M$144,$A$145:$H$145,0))*고양시_Modal_split!M$3 * 0.01</f>
        <v>3.289702154802336</v>
      </c>
      <c r="X147" s="206">
        <f>INDEX($A$145:$H$158,MATCH($L147,$B$145:$B$158,0),MATCH($M$144,$A$145:$H$145,0))*고양시_Modal_split!N$3 * 0.01</f>
        <v>1.430305284696668</v>
      </c>
      <c r="Y147" s="206">
        <f>INDEX($A$145:$H$158,MATCH($L147,$B$145:$B$158,0),MATCH($M$144,$A$145:$H$145,0))*고양시_Modal_split!O$3 * 0.01</f>
        <v>2.5745495124540025</v>
      </c>
      <c r="Z147" s="209">
        <f>INDEX($A$145:$H$158,MATCH($L147,$B$145:$B$158,0),MATCH($M$144,$A$145:$H$145,0))*고양시_Modal_split!P$3 * 0.01</f>
        <v>1430.3052846966682</v>
      </c>
      <c r="AA147" s="207">
        <f>INDEX($A$145:$H$158,MATCH($L147,$B$145:$B$158,0),MATCH($AA$144,$A$145:$H$145,0))*고양시_Modal_split!C$3 * 0.01</f>
        <v>28.98395348699086</v>
      </c>
      <c r="AB147" s="207">
        <f>INDEX($A$145:$H$158,MATCH($L147,$B$145:$B$158,0),MATCH($AA$144,$A$145:$H$145,0))*고양시_Modal_split!D$3 * 0.01</f>
        <v>4868.2690446185015</v>
      </c>
      <c r="AC147" s="207">
        <f>INDEX($A$145:$H$158,MATCH($L147,$B$145:$B$158,0),MATCH($AA$144,$A$145:$H$145,0))*고양시_Modal_split!E$3 * 0.01</f>
        <v>588.99534050349291</v>
      </c>
      <c r="AD147" s="207">
        <f>INDEX($A$145:$H$158,MATCH($L147,$B$145:$B$158,0),MATCH($AA$144,$A$145:$H$145,0))*고양시_Modal_split!F$3 * 0.01</f>
        <v>949.22447669895075</v>
      </c>
      <c r="AE147" s="207">
        <f>INDEX($A$145:$H$158,MATCH($L147,$B$145:$B$158,0),MATCH($AA$144,$A$145:$H$145,0))*고양시_Modal_split!G$3 * 0.01</f>
        <v>95.232990028684256</v>
      </c>
      <c r="AF147" s="207">
        <f>INDEX($A$145:$H$158,MATCH($L147,$B$145:$B$158,0),MATCH($AA$144,$A$145:$H$145,0))*고양시_Modal_split!H$3 * 0.01</f>
        <v>1.0351411959639594</v>
      </c>
      <c r="AG147" s="207">
        <f>INDEX($A$145:$H$158,MATCH($L147,$B$145:$B$158,0),MATCH($AA$144,$A$145:$H$145,0))*고양시_Modal_split!I$3 * 0.01</f>
        <v>287.76925247798073</v>
      </c>
      <c r="AH147" s="207">
        <f>INDEX($A$145:$H$158,MATCH($L147,$B$145:$B$158,0),MATCH($AA$144,$A$145:$H$145,0))*고양시_Modal_split!J$3 * 0.01</f>
        <v>3150.9698005142927</v>
      </c>
      <c r="AI147" s="207">
        <f>INDEX($A$145:$H$158,MATCH($L147,$B$145:$B$158,0),MATCH($AA$144,$A$145:$H$145,0))*고양시_Modal_split!K$3 * 0.01</f>
        <v>15.527117939459391</v>
      </c>
      <c r="AJ147" s="207">
        <f>INDEX($A$145:$H$158,MATCH($L147,$B$145:$B$158,0),MATCH($AA$144,$A$145:$H$145,0))*고양시_Modal_split!L$3 * 0.01</f>
        <v>312.61264118111575</v>
      </c>
      <c r="AK147" s="207">
        <f>INDEX($A$145:$H$158,MATCH($L147,$B$145:$B$158,0),MATCH($AA$144,$A$145:$H$145,0))*고양시_Modal_split!M$3 * 0.01</f>
        <v>23.808247507171064</v>
      </c>
      <c r="AL147" s="207">
        <f>INDEX($A$145:$H$158,MATCH($L147,$B$145:$B$158,0),MATCH($AA$144,$A$145:$H$145,0))*고양시_Modal_split!N$3 * 0.01</f>
        <v>10.351411959639595</v>
      </c>
      <c r="AM147" s="207">
        <f>INDEX($A$145:$H$158,MATCH($L147,$B$145:$B$158,0),MATCH($AA$144,$A$145:$H$145,0))*고양시_Modal_split!O$3 * 0.01</f>
        <v>18.632541527351268</v>
      </c>
      <c r="AN147" s="207">
        <f>INDEX($A$145:$H$158,MATCH($L147,$B$145:$B$158,0),MATCH($AA$144,$A$145:$H$145,0))*고양시_Modal_split!P$3 * 0.01</f>
        <v>10351.411959639594</v>
      </c>
      <c r="AO147" s="303">
        <f>INDEX($A$145:$H$158,MATCH($L147,$B$145:$B$158,0),MATCH($AO$144,$A$145:$H$145,0))*고양시_Modal_split!C$3 * 0.01</f>
        <v>1.6627376702393697</v>
      </c>
      <c r="AP147" s="303">
        <f>INDEX($A$145:$H$158,MATCH($L147,$B$145:$B$158,0),MATCH($AO$144,$A$145:$H$145,0))*고양시_Modal_split!D$3 * 0.01</f>
        <v>279.28054511199133</v>
      </c>
      <c r="AQ147" s="303">
        <f>INDEX($A$145:$H$158,MATCH($L147,$B$145:$B$158,0),MATCH($AO$144,$A$145:$H$145,0))*고양시_Modal_split!E$3 * 0.01</f>
        <v>33.789204798792909</v>
      </c>
      <c r="AR147" s="303">
        <f>INDEX($A$145:$H$158,MATCH($L147,$B$145:$B$158,0),MATCH($AO$144,$A$145:$H$145,0))*고양시_Modal_split!F$3 * 0.01</f>
        <v>54.454658700339358</v>
      </c>
      <c r="AS147" s="303">
        <f>INDEX($A$145:$H$158,MATCH($L147,$B$145:$B$158,0),MATCH($AO$144,$A$145:$H$145,0))*고양시_Modal_split!G$3 * 0.01</f>
        <v>5.4632809165007856</v>
      </c>
      <c r="AT147" s="303">
        <f>INDEX($A$145:$H$158,MATCH($L147,$B$145:$B$158,0),MATCH($AO$144,$A$145:$H$145,0))*고양시_Modal_split!H$3 * 0.01</f>
        <v>5.9383488222834638E-2</v>
      </c>
      <c r="AU147" s="303">
        <f>INDEX($A$145:$H$158,MATCH($L147,$B$145:$B$158,0),MATCH($AO$144,$A$145:$H$145,0))*고양시_Modal_split!I$3 * 0.01</f>
        <v>16.50860972594803</v>
      </c>
      <c r="AV147" s="303">
        <f>INDEX($A$145:$H$158,MATCH($L147,$B$145:$B$158,0),MATCH($AO$144,$A$145:$H$145,0))*고양시_Modal_split!J$3 * 0.01</f>
        <v>180.76333815030864</v>
      </c>
      <c r="AW147" s="303">
        <f>INDEX($A$145:$H$158,MATCH($L147,$B$145:$B$158,0),MATCH($AO$144,$A$145:$H$145,0))*고양시_Modal_split!K$3 * 0.01</f>
        <v>0.89075232334251953</v>
      </c>
      <c r="AX147" s="303">
        <f>INDEX($A$145:$H$158,MATCH($L147,$B$145:$B$158,0),MATCH($AO$144,$A$145:$H$145,0))*고양시_Modal_split!L$3 * 0.01</f>
        <v>17.93381344329606</v>
      </c>
      <c r="AY147" s="303">
        <f>INDEX($A$145:$H$158,MATCH($L147,$B$145:$B$158,0),MATCH($AO$144,$A$145:$H$145,0))*고양시_Modal_split!M$3 * 0.01</f>
        <v>1.3658202291251964</v>
      </c>
      <c r="AZ147" s="303">
        <f>INDEX($A$145:$H$158,MATCH($L147,$B$145:$B$158,0),MATCH($AO$144,$A$145:$H$145,0))*고양시_Modal_split!N$3 * 0.01</f>
        <v>0.59383488222834646</v>
      </c>
      <c r="BA147" s="207">
        <f>INDEX($A$145:$H$158,MATCH($L147,$B$145:$B$158,0),MATCH($AO$144,$A$145:$H$145,0))*고양시_Modal_split!O$3 * 0.01</f>
        <v>1.0689027880110233</v>
      </c>
      <c r="BB147" s="207">
        <f>INDEX($A$145:$H$158,MATCH($L147,$B$145:$B$158,0),MATCH($AO$144,$A$145:$H$145,0))*고양시_Modal_split!P$3 * 0.01</f>
        <v>593.83488222834637</v>
      </c>
      <c r="BC147" s="207">
        <f>INDEX($A$145:$H$158,MATCH($L147,$B$145:$B$158,0),MATCH($BC$144,$A$145:$H$145,0))*고양시_Modal_split!C$3 * 0.01</f>
        <v>2.6129979102766368E-3</v>
      </c>
      <c r="BD147" s="207">
        <f>INDEX($A$145:$H$158,MATCH($L147,$B$145:$B$158,0),MATCH($BC$144,$A$145:$H$145,0))*고양시_Modal_split!D$3 * 0.01</f>
        <v>0.4388903275725366</v>
      </c>
      <c r="BE147" s="207">
        <f>INDEX($A$145:$H$158,MATCH($L147,$B$145:$B$158,0),MATCH($BC$144,$A$145:$H$145,0))*고양시_Modal_split!E$3 * 0.01</f>
        <v>5.3099850390978802E-2</v>
      </c>
      <c r="BF147" s="207">
        <f>INDEX($A$145:$H$158,MATCH($L147,$B$145:$B$158,0),MATCH($BC$144,$A$145:$H$145,0))*고양시_Modal_split!F$3 * 0.01</f>
        <v>8.5575681561559855E-2</v>
      </c>
      <c r="BG147" s="207">
        <f>INDEX($A$145:$H$158,MATCH($L147,$B$145:$B$158,0),MATCH($BC$144,$A$145:$H$145,0))*고양시_Modal_split!G$3 * 0.01</f>
        <v>8.5855645623375207E-3</v>
      </c>
      <c r="BH147" s="207">
        <f>INDEX($A$145:$H$158,MATCH($L147,$B$145:$B$158,0),MATCH($BC$144,$A$145:$H$145,0))*고양시_Modal_split!H$3 * 0.01</f>
        <v>9.3321353938451325E-5</v>
      </c>
      <c r="BI147" s="207">
        <f>INDEX($A$145:$H$158,MATCH($L147,$B$145:$B$158,0),MATCH($BC$144,$A$145:$H$145,0))*고양시_Modal_split!I$3 * 0.01</f>
        <v>2.5943336394889466E-2</v>
      </c>
      <c r="BJ147" s="207">
        <f>INDEX($A$145:$H$158,MATCH($L147,$B$145:$B$158,0),MATCH($BC$144,$A$145:$H$145,0))*고양시_Modal_split!J$3 * 0.01</f>
        <v>0.28407020138864586</v>
      </c>
      <c r="BK147" s="207">
        <f>INDEX($A$145:$H$158,MATCH($L147,$B$145:$B$158,0),MATCH($BC$144,$A$145:$H$145,0))*고양시_Modal_split!K$3 * 0.01</f>
        <v>1.3998203090767698E-3</v>
      </c>
      <c r="BL147" s="207">
        <f>INDEX($A$145:$H$158,MATCH($L147,$B$145:$B$158,0),MATCH($BC$144,$A$145:$H$145,0))*고양시_Modal_split!L$3 * 0.01</f>
        <v>2.8183048889412299E-2</v>
      </c>
      <c r="BM147" s="207">
        <f>INDEX($A$145:$H$158,MATCH($L147,$B$145:$B$158,0),MATCH($BC$144,$A$145:$H$145,0))*고양시_Modal_split!M$3 * 0.01</f>
        <v>2.1463911405843802E-3</v>
      </c>
      <c r="BN147" s="207">
        <f>INDEX($A$145:$H$158,MATCH($L147,$B$145:$B$158,0),MATCH($BC$144,$A$145:$H$145,0))*고양시_Modal_split!N$3 * 0.01</f>
        <v>9.332135393845133E-4</v>
      </c>
      <c r="BO147" s="207">
        <f>INDEX($A$145:$H$158,MATCH($L147,$B$145:$B$158,0),MATCH($BC$144,$A$145:$H$145,0))*고양시_Modal_split!O$3 * 0.01</f>
        <v>1.6797843708921238E-3</v>
      </c>
      <c r="BP147" s="207">
        <f>INDEX($A$145:$H$158,MATCH($L147,$B$145:$B$158,0),MATCH($BC$144,$A$145:$H$145,0))*고양시_Modal_split!P$3 * 0.01</f>
        <v>0.93321353938451324</v>
      </c>
      <c r="BQ147" s="207">
        <f>INDEX($A$145:$H$158,MATCH($L147,$B$145:$B$158,0),MATCH($BQ$144,$A$145:$H$145,0))*고양시_Modal_split!C$3 * 0.01</f>
        <v>9.8713254388228863E-3</v>
      </c>
      <c r="BR147" s="207">
        <f>INDEX($A$145:$H$158,MATCH($L147,$B$145:$B$158,0),MATCH($BQ$144,$A$145:$H$145,0))*고양시_Modal_split!D$3 * 0.01</f>
        <v>1.6580301263851442</v>
      </c>
      <c r="BS147" s="207">
        <f>INDEX($A$145:$H$158,MATCH($L147,$B$145:$B$158,0),MATCH($BQ$144,$A$145:$H$145,0))*고양시_Modal_split!E$3 * 0.01</f>
        <v>0.2005994348103651</v>
      </c>
      <c r="BT147" s="207">
        <f>INDEX($A$145:$H$158,MATCH($L147,$B$145:$B$158,0),MATCH($BQ$144,$A$145:$H$145,0))*고양시_Modal_split!F$3 * 0.01</f>
        <v>0.32328590812144953</v>
      </c>
      <c r="BU147" s="207">
        <f>INDEX($A$145:$H$158,MATCH($L147,$B$145:$B$158,0),MATCH($BQ$144,$A$145:$H$145,0))*고양시_Modal_split!G$3 * 0.01</f>
        <v>3.2434355013275198E-2</v>
      </c>
      <c r="BV147" s="207">
        <f>INDEX($A$145:$H$158,MATCH($L147,$B$145:$B$158,0),MATCH($BQ$144,$A$145:$H$145,0))*고양시_Modal_split!H$3 * 0.01</f>
        <v>3.525473371008174E-4</v>
      </c>
      <c r="BW147" s="207">
        <f>INDEX($A$145:$H$158,MATCH($L147,$B$145:$B$158,0),MATCH($BQ$144,$A$145:$H$145,0))*고양시_Modal_split!I$3 * 0.01</f>
        <v>9.8008159714027224E-2</v>
      </c>
      <c r="BX147" s="207">
        <f>INDEX($A$145:$H$158,MATCH($L147,$B$145:$B$158,0),MATCH($BQ$144,$A$145:$H$145,0))*고양시_Modal_split!J$3 * 0.01</f>
        <v>1.0731540941348883</v>
      </c>
      <c r="BY147" s="207">
        <f>INDEX($A$145:$H$158,MATCH($L147,$B$145:$B$158,0),MATCH($BQ$144,$A$145:$H$145,0))*고양시_Modal_split!K$3 * 0.01</f>
        <v>5.2882100565122608E-3</v>
      </c>
      <c r="BZ147" s="207">
        <f>INDEX($A$145:$H$158,MATCH($L147,$B$145:$B$158,0),MATCH($BQ$144,$A$145:$H$145,0))*고양시_Modal_split!L$3 * 0.01</f>
        <v>0.10646929580444685</v>
      </c>
      <c r="CA147" s="207">
        <f>INDEX($A$145:$H$158,MATCH($L147,$B$145:$B$158,0),MATCH($BQ$144,$A$145:$H$145,0))*고양시_Modal_split!M$3 * 0.01</f>
        <v>8.1085887533187996E-3</v>
      </c>
      <c r="CB147" s="207">
        <f>INDEX($A$145:$H$158,MATCH($L147,$B$145:$B$158,0),MATCH($BQ$144,$A$145:$H$145,0))*고양시_Modal_split!N$3 * 0.01</f>
        <v>3.5254733710081742E-3</v>
      </c>
      <c r="CC147" s="207">
        <f>INDEX($A$145:$H$158,MATCH($L147,$B$145:$B$158,0),MATCH($BQ$144,$A$145:$H$145,0))*고양시_Modal_split!O$3 * 0.01</f>
        <v>6.3458520678147121E-3</v>
      </c>
      <c r="CD147" s="207">
        <f>INDEX($A$145:$H$158,MATCH($L147,$B$145:$B$158,0),MATCH($BQ$144,$A$145:$H$145,0))*고양시_Modal_split!P$3 * 0.01</f>
        <v>3.5254733710081743</v>
      </c>
      <c r="CE147" s="304">
        <f t="shared" ref="CE147:CE158" si="84">M147+AA147+AO147+BC147+BQ147</f>
        <v>34.664030277729992</v>
      </c>
      <c r="CF147" s="304">
        <f t="shared" si="64"/>
        <v>5822.3190855772928</v>
      </c>
      <c r="CG147" s="304">
        <f t="shared" si="65"/>
        <v>704.42261528672748</v>
      </c>
      <c r="CH147" s="304">
        <f t="shared" si="66"/>
        <v>1135.2469915956576</v>
      </c>
      <c r="CI147" s="304">
        <f t="shared" si="67"/>
        <v>113.89609948396999</v>
      </c>
      <c r="CJ147" s="304">
        <f t="shared" si="68"/>
        <v>1.2380010813475002</v>
      </c>
      <c r="CK147" s="304">
        <f t="shared" si="69"/>
        <v>344.16430061460505</v>
      </c>
      <c r="CL147" s="304">
        <f t="shared" si="70"/>
        <v>3768.4752916217908</v>
      </c>
      <c r="CM147" s="304">
        <f t="shared" si="71"/>
        <v>18.570016220212498</v>
      </c>
      <c r="CN147" s="304">
        <f t="shared" si="72"/>
        <v>373.87632656694501</v>
      </c>
      <c r="CO147" s="304">
        <f t="shared" si="73"/>
        <v>28.474024870992498</v>
      </c>
      <c r="CP147" s="304">
        <f t="shared" si="74"/>
        <v>12.380010813475003</v>
      </c>
      <c r="CQ147" s="304">
        <f t="shared" si="75"/>
        <v>22.284019464255</v>
      </c>
      <c r="CR147" s="304">
        <f t="shared" si="76"/>
        <v>12380.010813475001</v>
      </c>
      <c r="CS147" s="305">
        <f t="shared" ref="CS147:CS158" si="85">H147-CR147</f>
        <v>0</v>
      </c>
      <c r="CV147" s="265"/>
      <c r="CW147" s="265" t="s">
        <v>668</v>
      </c>
      <c r="CX147" s="267">
        <f>INDEX($M$144:$Z$158,MATCH($CW147,$L$144:$L$158,0),MATCH(CX$145,$M$145:$Z$145,0))/INDEX(고양시_재차인원!$D$4:$H$35,MATCH("고양시",고양시_재차인원!$B$4:$B$35,0),MATCH($CX$144,고양시_재차인원!$D$4:$H$4,0))</f>
        <v>600.60051374360978</v>
      </c>
      <c r="CY147" s="267">
        <f>INDEX($M$144:$Z$158,MATCH($CW147,$L$144:$L$158,0),MATCH(CY$145,$M$145:$Z$145,0))/INDEX(고양시_재차인원!$K$4:$O$20,MATCH("경기도",고양시_재차인원!$K$4:$K$20,0),MATCH(CY$145,고양시_재차인원!$K$4:$O$4,0))</f>
        <v>4.9680628158967283E-3</v>
      </c>
      <c r="CZ147" s="267">
        <f>INDEX($M$144:$Z$158,MATCH($CW147,$L$144:$L$158,0),MATCH(CZ$145,$M$145:$Z$145,0))/INDEX(고양시_재차인원!$K$4:$O$20,MATCH("경기도",고양시_재차인원!$K$4:$K$20,0),MATCH(CZ$145,고양시_재차인원!$K$4:$O$4,0))</f>
        <v>1.3811214628192903</v>
      </c>
      <c r="DA147" s="267">
        <f>INDEX($M$144:$Z$158,MATCH($CW147,$L$144:$L$158,0),MATCH(DA$145,$M$145:$Z$145,0))/INDEX(고양시_재차인원!$D$4:$H$35,MATCH("고양시",고양시_재차인원!$B$4:$B$35,0),MATCH($CX$144,고양시_재차인원!$D$4:$H$4,0))</f>
        <v>38.567160355213716</v>
      </c>
      <c r="DB147" s="267">
        <f>INDEX($AA$144:$AN$158,MATCH($CW147,$L$144:$L$158,0),MATCH(DB$145,$AA$145:$AN$145,0))/INDEX(고양시_재차인원!$D$4:$H$35,MATCH("고양시",고양시_재차인원!$B$4:$B$35,0),MATCH($DB$144,고양시_재차인원!$D$4:$H$4,0))</f>
        <v>3452.6730812897176</v>
      </c>
      <c r="DC147" s="267">
        <f>INDEX($AA$144:$AN$158,MATCH($CW147,$L$144:$L$158,0),MATCH(DC$145,$AA$145:$AN$145,0))/INDEX(고양시_재차인원!$K$4:$O$20,MATCH("경기도",고양시_재차인원!$K$4:$K$20,0),MATCH(DC$145,고양시_재차인원!$K$4:$O$4,0))</f>
        <v>3.5954886973392129E-2</v>
      </c>
      <c r="DD147" s="267">
        <f>INDEX($AA$144:$AN$158,MATCH($CW147,$L$144:$L$158,0),MATCH(DD$145,$AA$145:$AN$145,0))/INDEX(고양시_재차인원!$K$4:$O$20,MATCH("경기도",고양시_재차인원!$K$4:$K$20,0),MATCH(DD$145,고양시_재차인원!$K$4:$O$4,0))</f>
        <v>9.9954585786030119</v>
      </c>
      <c r="DE147" s="267">
        <f>INDEX($AA$144:$AN$158,MATCH($CW147,$L$144:$L$158,0),MATCH(DE$145,$AA$145:$AN$145,0))/INDEX(고양시_재차인원!$D$4:$H$35,MATCH("고양시",고양시_재차인원!$B$4:$B$35,0),MATCH($DB$144,고양시_재차인원!$D$4:$H$4,0))</f>
        <v>221.71109303625232</v>
      </c>
      <c r="DF147" s="267">
        <f>INDEX($AO$144:$BB$158,MATCH($CW147,$L$144:$L$158,0),MATCH(DF$145,$AO$145:$BB$145,0))/INDEX(고양시_재차인원!$D$4:$H$35,MATCH("고양시",고양시_재차인원!$B$4:$B$35,0),MATCH($DF$144,고양시_재차인원!$D$4:$H$4,0))</f>
        <v>214.83118854768563</v>
      </c>
      <c r="DG147" s="267">
        <f>INDEX($AO$144:$BB$158,MATCH($CW147,$L$144:$L$158,0),MATCH(DG$145,$AO$145:$BB$145,0))/INDEX(고양시_재차인원!$K$4:$O$20,MATCH("경기도",고양시_재차인원!$K$4:$K$20,0),MATCH(DG$145,고양시_재차인원!$K$4:$O$4,0))</f>
        <v>2.0626428698448987E-3</v>
      </c>
      <c r="DH147" s="267">
        <f>INDEX($AO$144:$BB$158,MATCH($CW147,$L$144:$L$158,0),MATCH(DH$145,$AO$145:$BB$145,0))/INDEX(고양시_재차인원!$K$4:$O$20,MATCH("경기도",고양시_재차인원!$K$4:$K$20,0),MATCH(DH$145,고양시_재차인원!$K$4:$O$4,0))</f>
        <v>0.57341471781688191</v>
      </c>
      <c r="DI147" s="267">
        <f>INDEX($AO$144:$BB$158,MATCH($CW147,$L$144:$L$158,0),MATCH(DI$145,$AO$145:$BB$145,0))/INDEX(고양시_재차인원!$D$4:$H$35,MATCH("고양시",고양시_재차인원!$B$4:$B$35,0),MATCH($DF$144,고양시_재차인원!$D$4:$H$4,0))</f>
        <v>13.795241110227739</v>
      </c>
      <c r="DJ147" s="267">
        <f>INDEX($BC$144:$BP$158,MATCH($CW147,$L$144:$L$158,0),MATCH(DJ$145,$BC$145:$BP$145,0))/INDEX(고양시_재차인원!$D$4:$H$35,MATCH("고양시",고양시_재차인원!$B$4:$B$35,0),MATCH($DJ$144,고양시_재차인원!$D$4:$H$4,0))</f>
        <v>0.32271347615627688</v>
      </c>
      <c r="DK147" s="267">
        <f>INDEX($BC$144:$BP$158,MATCH($CW147,$L$144:$L$158,0),MATCH(DK$145,$BC$145:$BP$145,0))/INDEX(고양시_재차인원!$K$4:$O$20,MATCH("경기도",고양시_재차인원!$K$4:$K$20,0),MATCH(DK$145,고양시_재차인원!$K$4:$O$4,0))</f>
        <v>3.2414502931035542E-6</v>
      </c>
      <c r="DL147" s="267">
        <f>INDEX($BC$144:$BP$158,MATCH($CW147,$L$144:$L$158,0),MATCH(DL$145,$BC$145:$BP$145,0))/INDEX(고양시_재차인원!$K$4:$O$20,MATCH("경기도",고양시_재차인원!$K$4:$K$20,0),MATCH(DL$145,고양시_재차인원!$K$4:$O$4,0))</f>
        <v>9.0112318148278798E-4</v>
      </c>
      <c r="DM147" s="267">
        <f>INDEX($BC$144:$BP$158,MATCH($CW147,$L$144:$L$158,0),MATCH(DM$145,$BC$145:$BP$145,0))/INDEX(고양시_재차인원!$D$4:$H$35,MATCH("고양시",고양시_재차인원!$B$4:$B$35,0),MATCH($DJ$144,고양시_재차인원!$D$4:$H$4,0))</f>
        <v>2.0722830065744335E-2</v>
      </c>
      <c r="DN147" s="267">
        <f>INDEX($BQ$144:$CD$158,MATCH($CW147,$L$144:$L$158,0),MATCH(DN$145,$BQ$145:$CD$145,0))/INDEX(고양시_재차인원!$D$4:$H$35,MATCH("고양시",고양시_재차인원!$B$4:$B$35,0),MATCH($DN$144,고양시_재차인원!$D$4:$H$4,0))</f>
        <v>1.3158969257024955</v>
      </c>
      <c r="DO147" s="267">
        <f>INDEX($BQ$144:$CD$158,MATCH($CW147,$L$144:$L$158,0),MATCH(DO$145,$BQ$145:$CD$145,0))/INDEX(고양시_재차인원!$K$4:$O$20,MATCH("경기도",고양시_재차인원!$K$4:$K$20,0),MATCH(DO$145,고양시_재차인원!$K$4:$O$4,0))</f>
        <v>1.2245478885057916E-5</v>
      </c>
      <c r="DP147" s="267">
        <f>INDEX($BQ$144:$CD$158,MATCH($CW147,$L$144:$L$158,0),MATCH(DP$145,$BQ$145:$CD$145,0))/INDEX(고양시_재차인원!$K$4:$O$20,MATCH("경기도",고양시_재차인원!$K$4:$K$20,0),MATCH(DP$145,고양시_재차인원!$K$4:$O$4,0))</f>
        <v>3.4042431300461001E-3</v>
      </c>
      <c r="DQ147" s="267">
        <f>INDEX($BQ$144:$CD$158,MATCH($CW147,$L$144:$L$158,0),MATCH(DQ$145,$BQ$145:$CD$145,0))/INDEX(고양시_재차인원!$D$4:$H$35,MATCH("고양시",고양시_재차인원!$B$4:$B$35,0),MATCH($DN$144,고양시_재차인원!$D$4:$H$4,0))</f>
        <v>8.4499441114640361E-2</v>
      </c>
      <c r="DR147" s="270">
        <f t="shared" ref="DR147:DR158" si="86">CX147+DB147+DF147+DJ147+DN147</f>
        <v>4269.7433939828725</v>
      </c>
      <c r="DS147" s="270">
        <f t="shared" si="77"/>
        <v>4.3001079588311918E-2</v>
      </c>
      <c r="DT147" s="270">
        <f t="shared" si="78"/>
        <v>11.954300125550713</v>
      </c>
      <c r="DU147" s="270">
        <f t="shared" si="79"/>
        <v>274.17871677287411</v>
      </c>
      <c r="DW147" s="278"/>
      <c r="DX147" s="278" t="s">
        <v>668</v>
      </c>
      <c r="DY147" s="281">
        <f t="shared" ref="DY147:DY158" si="87">DR147+DU147</f>
        <v>4543.9221107557469</v>
      </c>
      <c r="DZ147" s="281">
        <f t="shared" ref="DZ147:DZ158" si="88">DS147+DT147</f>
        <v>11.997301205139024</v>
      </c>
      <c r="EB147" s="278"/>
      <c r="EC147" s="278" t="s">
        <v>668</v>
      </c>
      <c r="ED147" s="281">
        <f t="shared" ref="ED147:ED158" si="89">DY147</f>
        <v>4543.9221107557469</v>
      </c>
      <c r="EE147" s="281">
        <f t="shared" si="80"/>
        <v>11.997301205139024</v>
      </c>
      <c r="EL147" s="306" t="s">
        <v>12</v>
      </c>
      <c r="EM147" s="306" t="s">
        <v>611</v>
      </c>
      <c r="EN147" s="306">
        <v>5231.5074000000004</v>
      </c>
      <c r="EO147" s="306">
        <v>7.8111327130966773E-2</v>
      </c>
      <c r="EP147" s="307">
        <v>849102</v>
      </c>
      <c r="EQ147" s="308">
        <f t="shared" ref="EQ147:EQ157" si="90">VLOOKUP($EL147,$EC$145:$EE$157,2,FALSE)*$EO147</f>
        <v>16.297966157942398</v>
      </c>
      <c r="ER147" s="308">
        <f t="shared" ref="ER147:ER157" si="91">VLOOKUP($EL147,$EC$145:$EE$157,3,FALSE)*$EO147</f>
        <v>4.3031461425177588E-2</v>
      </c>
      <c r="ET147" s="420" t="s">
        <v>12</v>
      </c>
      <c r="EU147" s="420" t="s">
        <v>611</v>
      </c>
      <c r="EV147" s="420">
        <v>5231.5074000000004</v>
      </c>
      <c r="EW147" s="420">
        <v>7.8111327130966773E-2</v>
      </c>
      <c r="EX147" s="421">
        <v>849102</v>
      </c>
      <c r="EY147" s="422">
        <f t="shared" ref="EY147:EY179" si="92">EQ147*$AW$11*(1-$AZ$7)</f>
        <v>15.833474122441039</v>
      </c>
      <c r="EZ147" s="422">
        <f t="shared" si="81"/>
        <v>4.180506477456003E-2</v>
      </c>
      <c r="FA147">
        <v>0</v>
      </c>
      <c r="FD147" s="306" t="s">
        <v>12</v>
      </c>
      <c r="FE147" s="306" t="s">
        <v>611</v>
      </c>
      <c r="FF147" s="306">
        <v>5231.5074000000004</v>
      </c>
      <c r="FG147" s="306">
        <v>7.8111327130966773E-2</v>
      </c>
      <c r="FH147" s="307">
        <v>849102</v>
      </c>
      <c r="FI147" s="308">
        <f t="shared" si="82"/>
        <v>15.833474122441039</v>
      </c>
      <c r="FJ147" s="308">
        <f t="shared" si="83"/>
        <v>4.180506477456003E-2</v>
      </c>
      <c r="FL147" s="101"/>
      <c r="FM147" s="101"/>
      <c r="FN147" s="101"/>
      <c r="FO147" s="101"/>
      <c r="FP147" s="374"/>
      <c r="FQ147" s="404"/>
      <c r="FR147" s="404"/>
    </row>
    <row r="148" spans="1:174" ht="25">
      <c r="A148" s="205"/>
      <c r="B148" s="205" t="s">
        <v>670</v>
      </c>
      <c r="C148" s="400">
        <f>$AB63*KTDB_TripDistribution_2025!T$12 * (1+KTDB_발생량도착량_증가율!$C$7*2)</f>
        <v>1075.1163996535367</v>
      </c>
      <c r="D148" s="400">
        <f>$AB63*KTDB_TripDistribution_2025!U$12 * (1+KTDB_발생량도착량_증가율!$C$7*2)</f>
        <v>7780.8373334357484</v>
      </c>
      <c r="E148" s="400">
        <f>$AB63*KTDB_TripDistribution_2025!V$12 * (1+KTDB_발생량도착량_증가율!$C$7*2)</f>
        <v>446.36737862953447</v>
      </c>
      <c r="F148" s="400">
        <f>$AB63*KTDB_TripDistribution_2025!W$12 * (1+KTDB_발생량도착량_증가율!$C$7*2)</f>
        <v>0.70146785536333212</v>
      </c>
      <c r="G148" s="400">
        <f>$AB63*KTDB_TripDistribution_2025!X$12 * (1+KTDB_발생량도착량_증가율!$C$7*2)</f>
        <v>2.649989675817042</v>
      </c>
      <c r="H148" s="400">
        <f>$AB63*KTDB_TripDistribution_2025!Y$12 * (1+KTDB_발생량도착량_증가율!$C$7*2)</f>
        <v>9305.6725692500022</v>
      </c>
      <c r="J148" s="230">
        <f t="shared" si="63"/>
        <v>9305.6725692500022</v>
      </c>
      <c r="K148" s="206"/>
      <c r="L148" s="206" t="s">
        <v>670</v>
      </c>
      <c r="M148" s="206">
        <f>INDEX($A$145:$H$158,MATCH($L148,$B$145:$B$158,0),MATCH($M$144,$A$145:$H$145,0))*고양시_Modal_split!C$3 * 0.01</f>
        <v>3.0103259190299028</v>
      </c>
      <c r="N148" s="206">
        <f>INDEX($A$145:$H$158,MATCH($L148,$B$145:$B$158,0),MATCH($M$144,$A$145:$H$145,0))*고양시_Modal_split!D$3 * 0.01</f>
        <v>505.62724275705835</v>
      </c>
      <c r="O148" s="206">
        <f>INDEX($A$145:$H$158,MATCH($L148,$B$145:$B$158,0),MATCH($M$144,$A$145:$H$145,0))*고양시_Modal_split!E$3 * 0.01</f>
        <v>61.174123140286241</v>
      </c>
      <c r="P148" s="206">
        <f>INDEX($A$145:$H$158,MATCH($L148,$B$145:$B$158,0),MATCH($M$144,$A$145:$H$145,0))*고양시_Modal_split!F$3 * 0.01</f>
        <v>98.588173848229331</v>
      </c>
      <c r="Q148" s="206">
        <f>INDEX($A$145:$H$158,MATCH($L148,$B$145:$B$158,0),MATCH($M$144,$A$145:$H$145,0))*고양시_Modal_split!G$3 * 0.01</f>
        <v>9.8910708768125364</v>
      </c>
      <c r="R148" s="206">
        <f>INDEX($A$145:$H$158,MATCH($L148,$B$145:$B$158,0),MATCH($M$144,$A$145:$H$145,0))*고양시_Modal_split!H$3 * 0.01</f>
        <v>0.10751163996535368</v>
      </c>
      <c r="S148" s="206">
        <f>INDEX($A$145:$H$158,MATCH($L148,$B$145:$B$158,0),MATCH($M$144,$A$145:$H$145,0))*고양시_Modal_split!I$3 * 0.01</f>
        <v>29.888235910368323</v>
      </c>
      <c r="T148" s="206">
        <f>INDEX($A$145:$H$158,MATCH($L148,$B$145:$B$158,0),MATCH($M$144,$A$145:$H$145,0))*고양시_Modal_split!J$3 * 0.01</f>
        <v>327.26543205453663</v>
      </c>
      <c r="U148" s="206">
        <f>INDEX($A$145:$H$158,MATCH($L148,$B$145:$B$158,0),MATCH($M$144,$A$145:$H$145,0))*고양시_Modal_split!K$3 * 0.01</f>
        <v>1.6126745994803051</v>
      </c>
      <c r="V148" s="206">
        <f>INDEX($A$145:$H$158,MATCH($L148,$B$145:$B$158,0),MATCH($M$144,$A$145:$H$145,0))*고양시_Modal_split!L$3 * 0.01</f>
        <v>32.468515269536809</v>
      </c>
      <c r="W148" s="206">
        <f>INDEX($A$145:$H$158,MATCH($L148,$B$145:$B$158,0),MATCH($M$144,$A$145:$H$145,0))*고양시_Modal_split!M$3 * 0.01</f>
        <v>2.4727677192031341</v>
      </c>
      <c r="X148" s="206">
        <f>INDEX($A$145:$H$158,MATCH($L148,$B$145:$B$158,0),MATCH($M$144,$A$145:$H$145,0))*고양시_Modal_split!N$3 * 0.01</f>
        <v>1.0751163996535369</v>
      </c>
      <c r="Y148" s="206">
        <f>INDEX($A$145:$H$158,MATCH($L148,$B$145:$B$158,0),MATCH($M$144,$A$145:$H$145,0))*고양시_Modal_split!O$3 * 0.01</f>
        <v>1.9352095193763661</v>
      </c>
      <c r="Z148" s="209">
        <f>INDEX($A$145:$H$158,MATCH($L148,$B$145:$B$158,0),MATCH($M$144,$A$145:$H$145,0))*고양시_Modal_split!P$3 * 0.01</f>
        <v>1075.1163996535367</v>
      </c>
      <c r="AA148" s="207">
        <f>INDEX($A$145:$H$158,MATCH($L148,$B$145:$B$158,0),MATCH($AA$144,$A$145:$H$145,0))*고양시_Modal_split!C$3 * 0.01</f>
        <v>21.786344533620095</v>
      </c>
      <c r="AB148" s="207">
        <f>INDEX($A$145:$H$158,MATCH($L148,$B$145:$B$158,0),MATCH($AA$144,$A$145:$H$145,0))*고양시_Modal_split!D$3 * 0.01</f>
        <v>3659.3277979148324</v>
      </c>
      <c r="AC148" s="207">
        <f>INDEX($A$145:$H$158,MATCH($L148,$B$145:$B$158,0),MATCH($AA$144,$A$145:$H$145,0))*고양시_Modal_split!E$3 * 0.01</f>
        <v>442.72964427249406</v>
      </c>
      <c r="AD148" s="207">
        <f>INDEX($A$145:$H$158,MATCH($L148,$B$145:$B$158,0),MATCH($AA$144,$A$145:$H$145,0))*고양시_Modal_split!F$3 * 0.01</f>
        <v>713.50278347605808</v>
      </c>
      <c r="AE148" s="207">
        <f>INDEX($A$145:$H$158,MATCH($L148,$B$145:$B$158,0),MATCH($AA$144,$A$145:$H$145,0))*고양시_Modal_split!G$3 * 0.01</f>
        <v>71.583703467608885</v>
      </c>
      <c r="AF148" s="207">
        <f>INDEX($A$145:$H$158,MATCH($L148,$B$145:$B$158,0),MATCH($AA$144,$A$145:$H$145,0))*고양시_Modal_split!H$3 * 0.01</f>
        <v>0.77808373334357483</v>
      </c>
      <c r="AG148" s="207">
        <f>INDEX($A$145:$H$158,MATCH($L148,$B$145:$B$158,0),MATCH($AA$144,$A$145:$H$145,0))*고양시_Modal_split!I$3 * 0.01</f>
        <v>216.3072778695138</v>
      </c>
      <c r="AH148" s="207">
        <f>INDEX($A$145:$H$158,MATCH($L148,$B$145:$B$158,0),MATCH($AA$144,$A$145:$H$145,0))*고양시_Modal_split!J$3 * 0.01</f>
        <v>2368.4868842978422</v>
      </c>
      <c r="AI148" s="207">
        <f>INDEX($A$145:$H$158,MATCH($L148,$B$145:$B$158,0),MATCH($AA$144,$A$145:$H$145,0))*고양시_Modal_split!K$3 * 0.01</f>
        <v>11.671256000153621</v>
      </c>
      <c r="AJ148" s="207">
        <f>INDEX($A$145:$H$158,MATCH($L148,$B$145:$B$158,0),MATCH($AA$144,$A$145:$H$145,0))*고양시_Modal_split!L$3 * 0.01</f>
        <v>234.98128746975959</v>
      </c>
      <c r="AK148" s="207">
        <f>INDEX($A$145:$H$158,MATCH($L148,$B$145:$B$158,0),MATCH($AA$144,$A$145:$H$145,0))*고양시_Modal_split!M$3 * 0.01</f>
        <v>17.895925866902221</v>
      </c>
      <c r="AL148" s="207">
        <f>INDEX($A$145:$H$158,MATCH($L148,$B$145:$B$158,0),MATCH($AA$144,$A$145:$H$145,0))*고양시_Modal_split!N$3 * 0.01</f>
        <v>7.7808373334357492</v>
      </c>
      <c r="AM148" s="207">
        <f>INDEX($A$145:$H$158,MATCH($L148,$B$145:$B$158,0),MATCH($AA$144,$A$145:$H$145,0))*고양시_Modal_split!O$3 * 0.01</f>
        <v>14.005507200184347</v>
      </c>
      <c r="AN148" s="207">
        <f>INDEX($A$145:$H$158,MATCH($L148,$B$145:$B$158,0),MATCH($AA$144,$A$145:$H$145,0))*고양시_Modal_split!P$3 * 0.01</f>
        <v>7780.8373334357484</v>
      </c>
      <c r="AO148" s="303">
        <f>INDEX($A$145:$H$158,MATCH($L148,$B$145:$B$158,0),MATCH($AO$144,$A$145:$H$145,0))*고양시_Modal_split!C$3 * 0.01</f>
        <v>1.2498286601626964</v>
      </c>
      <c r="AP148" s="303">
        <f>INDEX($A$145:$H$158,MATCH($L148,$B$145:$B$158,0),MATCH($AO$144,$A$145:$H$145,0))*고양시_Modal_split!D$3 * 0.01</f>
        <v>209.92657816947005</v>
      </c>
      <c r="AQ148" s="303">
        <f>INDEX($A$145:$H$158,MATCH($L148,$B$145:$B$158,0),MATCH($AO$144,$A$145:$H$145,0))*고양시_Modal_split!E$3 * 0.01</f>
        <v>25.398303844020511</v>
      </c>
      <c r="AR148" s="303">
        <f>INDEX($A$145:$H$158,MATCH($L148,$B$145:$B$158,0),MATCH($AO$144,$A$145:$H$145,0))*고양시_Modal_split!F$3 * 0.01</f>
        <v>40.931888620328309</v>
      </c>
      <c r="AS148" s="303">
        <f>INDEX($A$145:$H$158,MATCH($L148,$B$145:$B$158,0),MATCH($AO$144,$A$145:$H$145,0))*고양시_Modal_split!G$3 * 0.01</f>
        <v>4.1065798833917171</v>
      </c>
      <c r="AT148" s="303">
        <f>INDEX($A$145:$H$158,MATCH($L148,$B$145:$B$158,0),MATCH($AO$144,$A$145:$H$145,0))*고양시_Modal_split!H$3 * 0.01</f>
        <v>4.4636737862953448E-2</v>
      </c>
      <c r="AU148" s="303">
        <f>INDEX($A$145:$H$158,MATCH($L148,$B$145:$B$158,0),MATCH($AO$144,$A$145:$H$145,0))*고양시_Modal_split!I$3 * 0.01</f>
        <v>12.409013125901058</v>
      </c>
      <c r="AV148" s="303">
        <f>INDEX($A$145:$H$158,MATCH($L148,$B$145:$B$158,0),MATCH($AO$144,$A$145:$H$145,0))*고양시_Modal_split!J$3 * 0.01</f>
        <v>135.87423005483029</v>
      </c>
      <c r="AW148" s="303">
        <f>INDEX($A$145:$H$158,MATCH($L148,$B$145:$B$158,0),MATCH($AO$144,$A$145:$H$145,0))*고양시_Modal_split!K$3 * 0.01</f>
        <v>0.66955106794430164</v>
      </c>
      <c r="AX148" s="303">
        <f>INDEX($A$145:$H$158,MATCH($L148,$B$145:$B$158,0),MATCH($AO$144,$A$145:$H$145,0))*고양시_Modal_split!L$3 * 0.01</f>
        <v>13.480294834611941</v>
      </c>
      <c r="AY148" s="303">
        <f>INDEX($A$145:$H$158,MATCH($L148,$B$145:$B$158,0),MATCH($AO$144,$A$145:$H$145,0))*고양시_Modal_split!M$3 * 0.01</f>
        <v>1.0266449708479293</v>
      </c>
      <c r="AZ148" s="303">
        <f>INDEX($A$145:$H$158,MATCH($L148,$B$145:$B$158,0),MATCH($AO$144,$A$145:$H$145,0))*고양시_Modal_split!N$3 * 0.01</f>
        <v>0.44636737862953452</v>
      </c>
      <c r="BA148" s="207">
        <f>INDEX($A$145:$H$158,MATCH($L148,$B$145:$B$158,0),MATCH($AO$144,$A$145:$H$145,0))*고양시_Modal_split!O$3 * 0.01</f>
        <v>0.80346128153316199</v>
      </c>
      <c r="BB148" s="207">
        <f>INDEX($A$145:$H$158,MATCH($L148,$B$145:$B$158,0),MATCH($AO$144,$A$145:$H$145,0))*고양시_Modal_split!P$3 * 0.01</f>
        <v>446.36737862953453</v>
      </c>
      <c r="BC148" s="207">
        <f>INDEX($A$145:$H$158,MATCH($L148,$B$145:$B$158,0),MATCH($BC$144,$A$145:$H$145,0))*고양시_Modal_split!C$3 * 0.01</f>
        <v>1.9641099950173297E-3</v>
      </c>
      <c r="BD148" s="207">
        <f>INDEX($A$145:$H$158,MATCH($L148,$B$145:$B$158,0),MATCH($BC$144,$A$145:$H$145,0))*고양시_Modal_split!D$3 * 0.01</f>
        <v>0.32990033237737515</v>
      </c>
      <c r="BE148" s="207">
        <f>INDEX($A$145:$H$158,MATCH($L148,$B$145:$B$158,0),MATCH($BC$144,$A$145:$H$145,0))*고양시_Modal_split!E$3 * 0.01</f>
        <v>3.9913520970173595E-2</v>
      </c>
      <c r="BF148" s="207">
        <f>INDEX($A$145:$H$158,MATCH($L148,$B$145:$B$158,0),MATCH($BC$144,$A$145:$H$145,0))*고양시_Modal_split!F$3 * 0.01</f>
        <v>6.4324602336817555E-2</v>
      </c>
      <c r="BG148" s="207">
        <f>INDEX($A$145:$H$158,MATCH($L148,$B$145:$B$158,0),MATCH($BC$144,$A$145:$H$145,0))*고양시_Modal_split!G$3 * 0.01</f>
        <v>6.4535042693426546E-3</v>
      </c>
      <c r="BH148" s="207">
        <f>INDEX($A$145:$H$158,MATCH($L148,$B$145:$B$158,0),MATCH($BC$144,$A$145:$H$145,0))*고양시_Modal_split!H$3 * 0.01</f>
        <v>7.0146785536333222E-5</v>
      </c>
      <c r="BI148" s="207">
        <f>INDEX($A$145:$H$158,MATCH($L148,$B$145:$B$158,0),MATCH($BC$144,$A$145:$H$145,0))*고양시_Modal_split!I$3 * 0.01</f>
        <v>1.9500806379100632E-2</v>
      </c>
      <c r="BJ148" s="207">
        <f>INDEX($A$145:$H$158,MATCH($L148,$B$145:$B$158,0),MATCH($BC$144,$A$145:$H$145,0))*고양시_Modal_split!J$3 * 0.01</f>
        <v>0.21352681517259833</v>
      </c>
      <c r="BK148" s="207">
        <f>INDEX($A$145:$H$158,MATCH($L148,$B$145:$B$158,0),MATCH($BC$144,$A$145:$H$145,0))*고양시_Modal_split!K$3 * 0.01</f>
        <v>1.0522017830449982E-3</v>
      </c>
      <c r="BL148" s="207">
        <f>INDEX($A$145:$H$158,MATCH($L148,$B$145:$B$158,0),MATCH($BC$144,$A$145:$H$145,0))*고양시_Modal_split!L$3 * 0.01</f>
        <v>2.118432923197263E-2</v>
      </c>
      <c r="BM148" s="207">
        <f>INDEX($A$145:$H$158,MATCH($L148,$B$145:$B$158,0),MATCH($BC$144,$A$145:$H$145,0))*고양시_Modal_split!M$3 * 0.01</f>
        <v>1.6133760673356637E-3</v>
      </c>
      <c r="BN148" s="207">
        <f>INDEX($A$145:$H$158,MATCH($L148,$B$145:$B$158,0),MATCH($BC$144,$A$145:$H$145,0))*고양시_Modal_split!N$3 * 0.01</f>
        <v>7.0146785536333214E-4</v>
      </c>
      <c r="BO148" s="207">
        <f>INDEX($A$145:$H$158,MATCH($L148,$B$145:$B$158,0),MATCH($BC$144,$A$145:$H$145,0))*고양시_Modal_split!O$3 * 0.01</f>
        <v>1.2626421396539978E-3</v>
      </c>
      <c r="BP148" s="207">
        <f>INDEX($A$145:$H$158,MATCH($L148,$B$145:$B$158,0),MATCH($BC$144,$A$145:$H$145,0))*고양시_Modal_split!P$3 * 0.01</f>
        <v>0.70146785536333212</v>
      </c>
      <c r="BQ148" s="207">
        <f>INDEX($A$145:$H$158,MATCH($L148,$B$145:$B$158,0),MATCH($BQ$144,$A$145:$H$145,0))*고양시_Modal_split!C$3 * 0.01</f>
        <v>7.4199710922877174E-3</v>
      </c>
      <c r="BR148" s="207">
        <f>INDEX($A$145:$H$158,MATCH($L148,$B$145:$B$158,0),MATCH($BQ$144,$A$145:$H$145,0))*고양시_Modal_split!D$3 * 0.01</f>
        <v>1.2462901445367549</v>
      </c>
      <c r="BS148" s="207">
        <f>INDEX($A$145:$H$158,MATCH($L148,$B$145:$B$158,0),MATCH($BQ$144,$A$145:$H$145,0))*고양시_Modal_split!E$3 * 0.01</f>
        <v>0.15078441255398967</v>
      </c>
      <c r="BT148" s="207">
        <f>INDEX($A$145:$H$158,MATCH($L148,$B$145:$B$158,0),MATCH($BQ$144,$A$145:$H$145,0))*고양시_Modal_split!F$3 * 0.01</f>
        <v>0.24300405327242275</v>
      </c>
      <c r="BU148" s="207">
        <f>INDEX($A$145:$H$158,MATCH($L148,$B$145:$B$158,0),MATCH($BQ$144,$A$145:$H$145,0))*고양시_Modal_split!G$3 * 0.01</f>
        <v>2.4379905017516787E-2</v>
      </c>
      <c r="BV148" s="207">
        <f>INDEX($A$145:$H$158,MATCH($L148,$B$145:$B$158,0),MATCH($BQ$144,$A$145:$H$145,0))*고양시_Modal_split!H$3 * 0.01</f>
        <v>2.6499896758170422E-4</v>
      </c>
      <c r="BW148" s="207">
        <f>INDEX($A$145:$H$158,MATCH($L148,$B$145:$B$158,0),MATCH($BQ$144,$A$145:$H$145,0))*고양시_Modal_split!I$3 * 0.01</f>
        <v>7.3669712987713756E-2</v>
      </c>
      <c r="BX148" s="207">
        <f>INDEX($A$145:$H$158,MATCH($L148,$B$145:$B$158,0),MATCH($BQ$144,$A$145:$H$145,0))*고양시_Modal_split!J$3 * 0.01</f>
        <v>0.80665685731870773</v>
      </c>
      <c r="BY148" s="207">
        <f>INDEX($A$145:$H$158,MATCH($L148,$B$145:$B$158,0),MATCH($BQ$144,$A$145:$H$145,0))*고양시_Modal_split!K$3 * 0.01</f>
        <v>3.9749845137255629E-3</v>
      </c>
      <c r="BZ148" s="207">
        <f>INDEX($A$145:$H$158,MATCH($L148,$B$145:$B$158,0),MATCH($BQ$144,$A$145:$H$145,0))*고양시_Modal_split!L$3 * 0.01</f>
        <v>8.0029688209674682E-2</v>
      </c>
      <c r="CA148" s="207">
        <f>INDEX($A$145:$H$158,MATCH($L148,$B$145:$B$158,0),MATCH($BQ$144,$A$145:$H$145,0))*고양시_Modal_split!M$3 * 0.01</f>
        <v>6.0949762543791967E-3</v>
      </c>
      <c r="CB148" s="207">
        <f>INDEX($A$145:$H$158,MATCH($L148,$B$145:$B$158,0),MATCH($BQ$144,$A$145:$H$145,0))*고양시_Modal_split!N$3 * 0.01</f>
        <v>2.6499896758170422E-3</v>
      </c>
      <c r="CC148" s="207">
        <f>INDEX($A$145:$H$158,MATCH($L148,$B$145:$B$158,0),MATCH($BQ$144,$A$145:$H$145,0))*고양시_Modal_split!O$3 * 0.01</f>
        <v>4.769981416470676E-3</v>
      </c>
      <c r="CD148" s="207">
        <f>INDEX($A$145:$H$158,MATCH($L148,$B$145:$B$158,0),MATCH($BQ$144,$A$145:$H$145,0))*고양시_Modal_split!P$3 * 0.01</f>
        <v>2.6499896758170425</v>
      </c>
      <c r="CE148" s="304">
        <f t="shared" si="84"/>
        <v>26.055883193899998</v>
      </c>
      <c r="CF148" s="304">
        <f t="shared" si="64"/>
        <v>4376.4578093182754</v>
      </c>
      <c r="CG148" s="304">
        <f t="shared" si="65"/>
        <v>529.49276919032491</v>
      </c>
      <c r="CH148" s="304">
        <f t="shared" si="66"/>
        <v>853.33017460022495</v>
      </c>
      <c r="CI148" s="304">
        <f t="shared" si="67"/>
        <v>85.612187637099993</v>
      </c>
      <c r="CJ148" s="304">
        <f t="shared" si="68"/>
        <v>0.93056725692499997</v>
      </c>
      <c r="CK148" s="304">
        <f t="shared" si="69"/>
        <v>258.69769742515001</v>
      </c>
      <c r="CL148" s="304">
        <f t="shared" si="70"/>
        <v>2832.6467300796999</v>
      </c>
      <c r="CM148" s="304">
        <f t="shared" si="71"/>
        <v>13.958508853874998</v>
      </c>
      <c r="CN148" s="304">
        <f t="shared" si="72"/>
        <v>281.03131159134995</v>
      </c>
      <c r="CO148" s="304">
        <f t="shared" si="73"/>
        <v>21.403046909274998</v>
      </c>
      <c r="CP148" s="304">
        <f t="shared" si="74"/>
        <v>9.3056725692500013</v>
      </c>
      <c r="CQ148" s="304">
        <f t="shared" si="75"/>
        <v>16.750210624649998</v>
      </c>
      <c r="CR148" s="304">
        <f t="shared" si="76"/>
        <v>9305.6725692500022</v>
      </c>
      <c r="CS148" s="305">
        <f t="shared" si="85"/>
        <v>0</v>
      </c>
      <c r="CV148" s="265"/>
      <c r="CW148" s="265" t="s">
        <v>670</v>
      </c>
      <c r="CX148" s="267">
        <f>INDEX($M$144:$Z$158,MATCH($CW148,$L$144:$L$158,0),MATCH(CX$145,$M$145:$Z$145,0))/INDEX(고양시_재차인원!$D$4:$H$35,MATCH("고양시",고양시_재차인원!$B$4:$B$35,0),MATCH($CX$144,고양시_재차인원!$D$4:$H$4,0))</f>
        <v>451.45289531880206</v>
      </c>
      <c r="CY148" s="267">
        <f>INDEX($M$144:$Z$158,MATCH($CW148,$L$144:$L$158,0),MATCH(CY$145,$M$145:$Z$145,0))/INDEX(고양시_재차인원!$K$4:$O$20,MATCH("경기도",고양시_재차인원!$K$4:$K$20,0),MATCH(CY$145,고양시_재차인원!$K$4:$O$4,0))</f>
        <v>3.7343397000817536E-3</v>
      </c>
      <c r="CZ148" s="267">
        <f>INDEX($M$144:$Z$158,MATCH($CW148,$L$144:$L$158,0),MATCH(CZ$145,$M$145:$Z$145,0))/INDEX(고양시_재차인원!$K$4:$O$20,MATCH("경기도",고양시_재차인원!$K$4:$K$20,0),MATCH(CZ$145,고양시_재차인원!$K$4:$O$4,0))</f>
        <v>1.0381464366227275</v>
      </c>
      <c r="DA148" s="267">
        <f>INDEX($M$144:$Z$158,MATCH($CW148,$L$144:$L$158,0),MATCH(DA$145,$M$145:$Z$145,0))/INDEX(고양시_재차인원!$D$4:$H$35,MATCH("고양시",고양시_재차인원!$B$4:$B$35,0),MATCH($CX$144,고양시_재차인원!$D$4:$H$4,0))</f>
        <v>28.98974577637215</v>
      </c>
      <c r="DB148" s="267">
        <f>INDEX($AA$144:$AN$158,MATCH($CW148,$L$144:$L$158,0),MATCH(DB$145,$AA$145:$AN$145,0))/INDEX(고양시_재차인원!$D$4:$H$35,MATCH("고양시",고양시_재차인원!$B$4:$B$35,0),MATCH($DB$144,고양시_재차인원!$D$4:$H$4,0))</f>
        <v>2595.2679417835693</v>
      </c>
      <c r="DC148" s="267">
        <f>INDEX($AA$144:$AN$158,MATCH($CW148,$L$144:$L$158,0),MATCH(DC$145,$AA$145:$AN$145,0))/INDEX(고양시_재차인원!$K$4:$O$20,MATCH("경기도",고양시_재차인원!$K$4:$K$20,0),MATCH(DC$145,고양시_재차인원!$K$4:$O$4,0))</f>
        <v>2.7026180387064079E-2</v>
      </c>
      <c r="DD148" s="267">
        <f>INDEX($AA$144:$AN$158,MATCH($CW148,$L$144:$L$158,0),MATCH(DD$145,$AA$145:$AN$145,0))/INDEX(고양시_재차인원!$K$4:$O$20,MATCH("경기도",고양시_재차인원!$K$4:$K$20,0),MATCH(DD$145,고양시_재차인원!$K$4:$O$4,0))</f>
        <v>7.5132781476038142</v>
      </c>
      <c r="DE148" s="267">
        <f>INDEX($AA$144:$AN$158,MATCH($CW148,$L$144:$L$158,0),MATCH(DE$145,$AA$145:$AN$145,0))/INDEX(고양시_재차인원!$D$4:$H$35,MATCH("고양시",고양시_재차인원!$B$4:$B$35,0),MATCH($DB$144,고양시_재차인원!$D$4:$H$4,0))</f>
        <v>166.65339536862385</v>
      </c>
      <c r="DF148" s="267">
        <f>INDEX($AO$144:$BB$158,MATCH($CW148,$L$144:$L$158,0),MATCH(DF$145,$AO$145:$BB$145,0))/INDEX(고양시_재차인원!$D$4:$H$35,MATCH("고양시",고양시_재차인원!$B$4:$B$35,0),MATCH($DF$144,고양시_재차인원!$D$4:$H$4,0))</f>
        <v>161.48198320728466</v>
      </c>
      <c r="DG148" s="267">
        <f>INDEX($AO$144:$BB$158,MATCH($CW148,$L$144:$L$158,0),MATCH(DG$145,$AO$145:$BB$145,0))/INDEX(고양시_재차인원!$K$4:$O$20,MATCH("경기도",고양시_재차인원!$K$4:$K$20,0),MATCH(DG$145,고양시_재차인원!$K$4:$O$4,0))</f>
        <v>1.5504250733919226E-3</v>
      </c>
      <c r="DH148" s="267">
        <f>INDEX($AO$144:$BB$158,MATCH($CW148,$L$144:$L$158,0),MATCH(DH$145,$AO$145:$BB$145,0))/INDEX(고양시_재차인원!$K$4:$O$20,MATCH("경기도",고양시_재차인원!$K$4:$K$20,0),MATCH(DH$145,고양시_재차인원!$K$4:$O$4,0))</f>
        <v>0.43101817040295443</v>
      </c>
      <c r="DI148" s="267">
        <f>INDEX($AO$144:$BB$158,MATCH($CW148,$L$144:$L$158,0),MATCH(DI$145,$AO$145:$BB$145,0))/INDEX(고양시_재차인원!$D$4:$H$35,MATCH("고양시",고양시_재차인원!$B$4:$B$35,0),MATCH($DF$144,고양시_재차인원!$D$4:$H$4,0))</f>
        <v>10.369457565086108</v>
      </c>
      <c r="DJ148" s="267">
        <f>INDEX($BC$144:$BP$158,MATCH($CW148,$L$144:$L$158,0),MATCH(DJ$145,$BC$145:$BP$145,0))/INDEX(고양시_재차인원!$D$4:$H$35,MATCH("고양시",고양시_재차인원!$B$4:$B$35,0),MATCH($DJ$144,고양시_재차인원!$D$4:$H$4,0))</f>
        <v>0.24257377380689346</v>
      </c>
      <c r="DK148" s="267">
        <f>INDEX($BC$144:$BP$158,MATCH($CW148,$L$144:$L$158,0),MATCH(DK$145,$BC$145:$BP$145,0))/INDEX(고양시_재차인원!$K$4:$O$20,MATCH("경기도",고양시_재차인원!$K$4:$K$20,0),MATCH(DK$145,고양시_재차인원!$K$4:$O$4,0))</f>
        <v>2.4364982819150132E-6</v>
      </c>
      <c r="DL148" s="267">
        <f>INDEX($BC$144:$BP$158,MATCH($CW148,$L$144:$L$158,0),MATCH(DL$145,$BC$145:$BP$145,0))/INDEX(고양시_재차인원!$K$4:$O$20,MATCH("경기도",고양시_재차인원!$K$4:$K$20,0),MATCH(DL$145,고양시_재차인원!$K$4:$O$4,0))</f>
        <v>6.7734652237237344E-4</v>
      </c>
      <c r="DM148" s="267">
        <f>INDEX($BC$144:$BP$158,MATCH($CW148,$L$144:$L$158,0),MATCH(DM$145,$BC$145:$BP$145,0))/INDEX(고양시_재차인원!$D$4:$H$35,MATCH("고양시",고양시_재차인원!$B$4:$B$35,0),MATCH($DJ$144,고양시_재차인원!$D$4:$H$4,0))</f>
        <v>1.5576712670568109E-2</v>
      </c>
      <c r="DN148" s="267">
        <f>INDEX($BQ$144:$CD$158,MATCH($CW148,$L$144:$L$158,0),MATCH(DN$145,$BQ$145:$CD$145,0))/INDEX(고양시_재차인원!$D$4:$H$35,MATCH("고양시",고양시_재차인원!$B$4:$B$35,0),MATCH($DN$144,고양시_재차인원!$D$4:$H$4,0))</f>
        <v>0.98911916233075781</v>
      </c>
      <c r="DO148" s="267">
        <f>INDEX($BQ$144:$CD$158,MATCH($CW148,$L$144:$L$158,0),MATCH(DO$145,$BQ$145:$CD$145,0))/INDEX(고양시_재차인원!$K$4:$O$20,MATCH("경기도",고양시_재차인원!$K$4:$K$20,0),MATCH(DO$145,고양시_재차인원!$K$4:$O$4,0))</f>
        <v>9.2045490650123033E-6</v>
      </c>
      <c r="DP148" s="267">
        <f>INDEX($BQ$144:$CD$158,MATCH($CW148,$L$144:$L$158,0),MATCH(DP$145,$BQ$145:$CD$145,0))/INDEX(고양시_재차인원!$K$4:$O$20,MATCH("경기도",고양시_재차인원!$K$4:$K$20,0),MATCH(DP$145,고양시_재차인원!$K$4:$O$4,0))</f>
        <v>2.5588646400734197E-3</v>
      </c>
      <c r="DQ148" s="267">
        <f>INDEX($BQ$144:$CD$158,MATCH($CW148,$L$144:$L$158,0),MATCH(DQ$145,$BQ$145:$CD$145,0))/INDEX(고양시_재차인원!$D$4:$H$35,MATCH("고양시",고양시_재차인원!$B$4:$B$35,0),MATCH($DN$144,고양시_재차인원!$D$4:$H$4,0))</f>
        <v>6.3515625563233868E-2</v>
      </c>
      <c r="DR148" s="270">
        <f t="shared" si="86"/>
        <v>3209.4345132457934</v>
      </c>
      <c r="DS148" s="270">
        <f t="shared" si="77"/>
        <v>3.2322586207884689E-2</v>
      </c>
      <c r="DT148" s="270">
        <f t="shared" si="78"/>
        <v>8.9856789657919425</v>
      </c>
      <c r="DU148" s="270">
        <f t="shared" si="79"/>
        <v>206.09169104831591</v>
      </c>
      <c r="DW148" s="278"/>
      <c r="DX148" s="278" t="s">
        <v>670</v>
      </c>
      <c r="DY148" s="281">
        <f t="shared" si="87"/>
        <v>3415.5262042941094</v>
      </c>
      <c r="DZ148" s="281">
        <f t="shared" si="88"/>
        <v>9.0180015519998271</v>
      </c>
      <c r="EB148" s="278"/>
      <c r="EC148" s="278" t="s">
        <v>670</v>
      </c>
      <c r="ED148" s="281">
        <f t="shared" si="89"/>
        <v>3415.5262042941094</v>
      </c>
      <c r="EE148" s="281">
        <f t="shared" si="80"/>
        <v>9.0180015519998271</v>
      </c>
      <c r="EL148" s="306" t="s">
        <v>12</v>
      </c>
      <c r="EM148" s="306" t="s">
        <v>359</v>
      </c>
      <c r="EN148" s="306">
        <v>5055.2204000000002</v>
      </c>
      <c r="EO148" s="306">
        <v>7.5479196375319413E-2</v>
      </c>
      <c r="EP148" s="307">
        <v>849103</v>
      </c>
      <c r="EQ148" s="308">
        <f t="shared" si="90"/>
        <v>15.748770803638743</v>
      </c>
      <c r="ER148" s="308">
        <f t="shared" si="91"/>
        <v>4.1581422906593009E-2</v>
      </c>
      <c r="ET148" s="420" t="s">
        <v>12</v>
      </c>
      <c r="EU148" s="420" t="s">
        <v>359</v>
      </c>
      <c r="EV148" s="420">
        <v>5055.2204000000002</v>
      </c>
      <c r="EW148" s="420">
        <v>7.5479196375319413E-2</v>
      </c>
      <c r="EX148" s="421">
        <v>849103</v>
      </c>
      <c r="EY148" s="422">
        <f t="shared" si="92"/>
        <v>15.29993083573504</v>
      </c>
      <c r="EZ148" s="422">
        <f t="shared" si="81"/>
        <v>4.0396352353755112E-2</v>
      </c>
      <c r="FA148">
        <v>0</v>
      </c>
      <c r="FD148" s="306" t="s">
        <v>12</v>
      </c>
      <c r="FE148" s="306" t="s">
        <v>359</v>
      </c>
      <c r="FF148" s="306">
        <v>5055.2204000000002</v>
      </c>
      <c r="FG148" s="306">
        <v>7.5479196375319413E-2</v>
      </c>
      <c r="FH148" s="307">
        <v>849103</v>
      </c>
      <c r="FI148" s="308">
        <f t="shared" si="82"/>
        <v>15.29993083573504</v>
      </c>
      <c r="FJ148" s="308">
        <f t="shared" si="83"/>
        <v>4.0396352353755112E-2</v>
      </c>
      <c r="FL148" s="101"/>
      <c r="FM148" s="101"/>
      <c r="FN148" s="101"/>
      <c r="FO148" s="101"/>
      <c r="FP148" s="374"/>
      <c r="FQ148" s="404"/>
      <c r="FR148" s="404"/>
    </row>
    <row r="149" spans="1:174" ht="25">
      <c r="A149" s="205"/>
      <c r="B149" s="205" t="s">
        <v>672</v>
      </c>
      <c r="C149" s="400">
        <f>$AB64*KTDB_TripDistribution_2025!T$12 * (1+KTDB_발생량도착량_증가율!$C$7*2)</f>
        <v>172.8811815144885</v>
      </c>
      <c r="D149" s="400">
        <f>$AB64*KTDB_TripDistribution_2025!U$12 * (1+KTDB_발생량도착량_증가율!$C$7*2)</f>
        <v>1251.1764789467454</v>
      </c>
      <c r="E149" s="400">
        <f>$AB64*KTDB_TripDistribution_2025!V$12 * (1+KTDB_발생량도착량_증가율!$C$7*2)</f>
        <v>71.776897675328016</v>
      </c>
      <c r="F149" s="400">
        <f>$AB64*KTDB_TripDistribution_2025!W$12 * (1+KTDB_발생량도착량_증가율!$C$7*2)</f>
        <v>0.11279763909166245</v>
      </c>
      <c r="G149" s="400">
        <f>$AB64*KTDB_TripDistribution_2025!X$12 * (1+KTDB_발생량도착량_증가율!$C$7*2)</f>
        <v>0.42612441434628201</v>
      </c>
      <c r="H149" s="400">
        <f>$AB64*KTDB_TripDistribution_2025!Y$12 * (1+KTDB_발생량도착량_증가율!$C$7*2)</f>
        <v>1496.3734801900002</v>
      </c>
      <c r="J149" s="230">
        <f t="shared" si="63"/>
        <v>1496.3734801899998</v>
      </c>
      <c r="K149" s="206"/>
      <c r="L149" s="206" t="s">
        <v>672</v>
      </c>
      <c r="M149" s="206">
        <f>INDEX($A$145:$H$158,MATCH($L149,$B$145:$B$158,0),MATCH($M$144,$A$145:$H$145,0))*고양시_Modal_split!C$3 * 0.01</f>
        <v>0.48406730824056776</v>
      </c>
      <c r="N149" s="206">
        <f>INDEX($A$145:$H$158,MATCH($L149,$B$145:$B$158,0),MATCH($M$144,$A$145:$H$145,0))*고양시_Modal_split!D$3 * 0.01</f>
        <v>81.30601966626395</v>
      </c>
      <c r="O149" s="206">
        <f>INDEX($A$145:$H$158,MATCH($L149,$B$145:$B$158,0),MATCH($M$144,$A$145:$H$145,0))*고양시_Modal_split!E$3 * 0.01</f>
        <v>9.8369392281743941</v>
      </c>
      <c r="P149" s="206">
        <f>INDEX($A$145:$H$158,MATCH($L149,$B$145:$B$158,0),MATCH($M$144,$A$145:$H$145,0))*고양시_Modal_split!F$3 * 0.01</f>
        <v>15.853204344878595</v>
      </c>
      <c r="Q149" s="206">
        <f>INDEX($A$145:$H$158,MATCH($L149,$B$145:$B$158,0),MATCH($M$144,$A$145:$H$145,0))*고양시_Modal_split!G$3 * 0.01</f>
        <v>1.590506869933294</v>
      </c>
      <c r="R149" s="206">
        <f>INDEX($A$145:$H$158,MATCH($L149,$B$145:$B$158,0),MATCH($M$144,$A$145:$H$145,0))*고양시_Modal_split!H$3 * 0.01</f>
        <v>1.7288118151448852E-2</v>
      </c>
      <c r="S149" s="206">
        <f>INDEX($A$145:$H$158,MATCH($L149,$B$145:$B$158,0),MATCH($M$144,$A$145:$H$145,0))*고양시_Modal_split!I$3 * 0.01</f>
        <v>4.80609684610278</v>
      </c>
      <c r="T149" s="206">
        <f>INDEX($A$145:$H$158,MATCH($L149,$B$145:$B$158,0),MATCH($M$144,$A$145:$H$145,0))*고양시_Modal_split!J$3 * 0.01</f>
        <v>52.625031653010304</v>
      </c>
      <c r="U149" s="206">
        <f>INDEX($A$145:$H$158,MATCH($L149,$B$145:$B$158,0),MATCH($M$144,$A$145:$H$145,0))*고양시_Modal_split!K$3 * 0.01</f>
        <v>0.25932177227173275</v>
      </c>
      <c r="V149" s="206">
        <f>INDEX($A$145:$H$158,MATCH($L149,$B$145:$B$158,0),MATCH($M$144,$A$145:$H$145,0))*고양시_Modal_split!L$3 * 0.01</f>
        <v>5.2210116817375525</v>
      </c>
      <c r="W149" s="206">
        <f>INDEX($A$145:$H$158,MATCH($L149,$B$145:$B$158,0),MATCH($M$144,$A$145:$H$145,0))*고양시_Modal_split!M$3 * 0.01</f>
        <v>0.39762671748332351</v>
      </c>
      <c r="X149" s="206">
        <f>INDEX($A$145:$H$158,MATCH($L149,$B$145:$B$158,0),MATCH($M$144,$A$145:$H$145,0))*고양시_Modal_split!N$3 * 0.01</f>
        <v>0.17288118151448853</v>
      </c>
      <c r="Y149" s="206">
        <f>INDEX($A$145:$H$158,MATCH($L149,$B$145:$B$158,0),MATCH($M$144,$A$145:$H$145,0))*고양시_Modal_split!O$3 * 0.01</f>
        <v>0.31118612672607932</v>
      </c>
      <c r="Z149" s="209">
        <f>INDEX($A$145:$H$158,MATCH($L149,$B$145:$B$158,0),MATCH($M$144,$A$145:$H$145,0))*고양시_Modal_split!P$3 * 0.01</f>
        <v>172.8811815144885</v>
      </c>
      <c r="AA149" s="207">
        <f>INDEX($A$145:$H$158,MATCH($L149,$B$145:$B$158,0),MATCH($AA$144,$A$145:$H$145,0))*고양시_Modal_split!C$3 * 0.01</f>
        <v>3.5032941410508869</v>
      </c>
      <c r="AB149" s="207">
        <f>INDEX($A$145:$H$158,MATCH($L149,$B$145:$B$158,0),MATCH($AA$144,$A$145:$H$145,0))*고양시_Modal_split!D$3 * 0.01</f>
        <v>588.42829804865437</v>
      </c>
      <c r="AC149" s="207">
        <f>INDEX($A$145:$H$158,MATCH($L149,$B$145:$B$158,0),MATCH($AA$144,$A$145:$H$145,0))*고양시_Modal_split!E$3 * 0.01</f>
        <v>71.191941652069815</v>
      </c>
      <c r="AD149" s="207">
        <f>INDEX($A$145:$H$158,MATCH($L149,$B$145:$B$158,0),MATCH($AA$144,$A$145:$H$145,0))*고양시_Modal_split!F$3 * 0.01</f>
        <v>114.73288311941656</v>
      </c>
      <c r="AE149" s="207">
        <f>INDEX($A$145:$H$158,MATCH($L149,$B$145:$B$158,0),MATCH($AA$144,$A$145:$H$145,0))*고양시_Modal_split!G$3 * 0.01</f>
        <v>11.510823606310057</v>
      </c>
      <c r="AF149" s="207">
        <f>INDEX($A$145:$H$158,MATCH($L149,$B$145:$B$158,0),MATCH($AA$144,$A$145:$H$145,0))*고양시_Modal_split!H$3 * 0.01</f>
        <v>0.12511764789467456</v>
      </c>
      <c r="AG149" s="207">
        <f>INDEX($A$145:$H$158,MATCH($L149,$B$145:$B$158,0),MATCH($AA$144,$A$145:$H$145,0))*고양시_Modal_split!I$3 * 0.01</f>
        <v>34.782706114719524</v>
      </c>
      <c r="AH149" s="207">
        <f>INDEX($A$145:$H$158,MATCH($L149,$B$145:$B$158,0),MATCH($AA$144,$A$145:$H$145,0))*고양시_Modal_split!J$3 * 0.01</f>
        <v>380.85812019138933</v>
      </c>
      <c r="AI149" s="207">
        <f>INDEX($A$145:$H$158,MATCH($L149,$B$145:$B$158,0),MATCH($AA$144,$A$145:$H$145,0))*고양시_Modal_split!K$3 * 0.01</f>
        <v>1.8767647184201182</v>
      </c>
      <c r="AJ149" s="207">
        <f>INDEX($A$145:$H$158,MATCH($L149,$B$145:$B$158,0),MATCH($AA$144,$A$145:$H$145,0))*고양시_Modal_split!L$3 * 0.01</f>
        <v>37.785529664191714</v>
      </c>
      <c r="AK149" s="207">
        <f>INDEX($A$145:$H$158,MATCH($L149,$B$145:$B$158,0),MATCH($AA$144,$A$145:$H$145,0))*고양시_Modal_split!M$3 * 0.01</f>
        <v>2.8777059015775142</v>
      </c>
      <c r="AL149" s="207">
        <f>INDEX($A$145:$H$158,MATCH($L149,$B$145:$B$158,0),MATCH($AA$144,$A$145:$H$145,0))*고양시_Modal_split!N$3 * 0.01</f>
        <v>1.2511764789467454</v>
      </c>
      <c r="AM149" s="207">
        <f>INDEX($A$145:$H$158,MATCH($L149,$B$145:$B$158,0),MATCH($AA$144,$A$145:$H$145,0))*고양시_Modal_split!O$3 * 0.01</f>
        <v>2.2521176621041419</v>
      </c>
      <c r="AN149" s="207">
        <f>INDEX($A$145:$H$158,MATCH($L149,$B$145:$B$158,0),MATCH($AA$144,$A$145:$H$145,0))*고양시_Modal_split!P$3 * 0.01</f>
        <v>1251.1764789467454</v>
      </c>
      <c r="AO149" s="303">
        <f>INDEX($A$145:$H$158,MATCH($L149,$B$145:$B$158,0),MATCH($AO$144,$A$145:$H$145,0))*고양시_Modal_split!C$3 * 0.01</f>
        <v>0.20097531349091843</v>
      </c>
      <c r="AP149" s="303">
        <f>INDEX($A$145:$H$158,MATCH($L149,$B$145:$B$158,0),MATCH($AO$144,$A$145:$H$145,0))*고양시_Modal_split!D$3 * 0.01</f>
        <v>33.756674976706769</v>
      </c>
      <c r="AQ149" s="303">
        <f>INDEX($A$145:$H$158,MATCH($L149,$B$145:$B$158,0),MATCH($AO$144,$A$145:$H$145,0))*고양시_Modal_split!E$3 * 0.01</f>
        <v>4.0841054777261636</v>
      </c>
      <c r="AR149" s="303">
        <f>INDEX($A$145:$H$158,MATCH($L149,$B$145:$B$158,0),MATCH($AO$144,$A$145:$H$145,0))*고양시_Modal_split!F$3 * 0.01</f>
        <v>6.5819415168275794</v>
      </c>
      <c r="AS149" s="303">
        <f>INDEX($A$145:$H$158,MATCH($L149,$B$145:$B$158,0),MATCH($AO$144,$A$145:$H$145,0))*고양시_Modal_split!G$3 * 0.01</f>
        <v>0.66034745861301769</v>
      </c>
      <c r="AT149" s="303">
        <f>INDEX($A$145:$H$158,MATCH($L149,$B$145:$B$158,0),MATCH($AO$144,$A$145:$H$145,0))*고양시_Modal_split!H$3 * 0.01</f>
        <v>7.1776897675328022E-3</v>
      </c>
      <c r="AU149" s="303">
        <f>INDEX($A$145:$H$158,MATCH($L149,$B$145:$B$158,0),MATCH($AO$144,$A$145:$H$145,0))*고양시_Modal_split!I$3 * 0.01</f>
        <v>1.9953977553741187</v>
      </c>
      <c r="AV149" s="303">
        <f>INDEX($A$145:$H$158,MATCH($L149,$B$145:$B$158,0),MATCH($AO$144,$A$145:$H$145,0))*고양시_Modal_split!J$3 * 0.01</f>
        <v>21.84888765236985</v>
      </c>
      <c r="AW149" s="303">
        <f>INDEX($A$145:$H$158,MATCH($L149,$B$145:$B$158,0),MATCH($AO$144,$A$145:$H$145,0))*고양시_Modal_split!K$3 * 0.01</f>
        <v>0.10766534651299202</v>
      </c>
      <c r="AX149" s="303">
        <f>INDEX($A$145:$H$158,MATCH($L149,$B$145:$B$158,0),MATCH($AO$144,$A$145:$H$145,0))*고양시_Modal_split!L$3 * 0.01</f>
        <v>2.1676623097949062</v>
      </c>
      <c r="AY149" s="303">
        <f>INDEX($A$145:$H$158,MATCH($L149,$B$145:$B$158,0),MATCH($AO$144,$A$145:$H$145,0))*고양시_Modal_split!M$3 * 0.01</f>
        <v>0.16508686465325442</v>
      </c>
      <c r="AZ149" s="303">
        <f>INDEX($A$145:$H$158,MATCH($L149,$B$145:$B$158,0),MATCH($AO$144,$A$145:$H$145,0))*고양시_Modal_split!N$3 * 0.01</f>
        <v>7.1776897675328022E-2</v>
      </c>
      <c r="BA149" s="207">
        <f>INDEX($A$145:$H$158,MATCH($L149,$B$145:$B$158,0),MATCH($AO$144,$A$145:$H$145,0))*고양시_Modal_split!O$3 * 0.01</f>
        <v>0.12919841581559044</v>
      </c>
      <c r="BB149" s="207">
        <f>INDEX($A$145:$H$158,MATCH($L149,$B$145:$B$158,0),MATCH($AO$144,$A$145:$H$145,0))*고양시_Modal_split!P$3 * 0.01</f>
        <v>71.776897675328016</v>
      </c>
      <c r="BC149" s="207">
        <f>INDEX($A$145:$H$158,MATCH($L149,$B$145:$B$158,0),MATCH($BC$144,$A$145:$H$145,0))*고양시_Modal_split!C$3 * 0.01</f>
        <v>3.1583338945665482E-4</v>
      </c>
      <c r="BD149" s="207">
        <f>INDEX($A$145:$H$158,MATCH($L149,$B$145:$B$158,0),MATCH($BC$144,$A$145:$H$145,0))*고양시_Modal_split!D$3 * 0.01</f>
        <v>5.304872966480885E-2</v>
      </c>
      <c r="BE149" s="207">
        <f>INDEX($A$145:$H$158,MATCH($L149,$B$145:$B$158,0),MATCH($BC$144,$A$145:$H$145,0))*고양시_Modal_split!E$3 * 0.01</f>
        <v>6.418185664315592E-3</v>
      </c>
      <c r="BF149" s="207">
        <f>INDEX($A$145:$H$158,MATCH($L149,$B$145:$B$158,0),MATCH($BC$144,$A$145:$H$145,0))*고양시_Modal_split!F$3 * 0.01</f>
        <v>1.0343543504705446E-2</v>
      </c>
      <c r="BG149" s="207">
        <f>INDEX($A$145:$H$158,MATCH($L149,$B$145:$B$158,0),MATCH($BC$144,$A$145:$H$145,0))*고양시_Modal_split!G$3 * 0.01</f>
        <v>1.0377382796432945E-3</v>
      </c>
      <c r="BH149" s="207">
        <f>INDEX($A$145:$H$158,MATCH($L149,$B$145:$B$158,0),MATCH($BC$144,$A$145:$H$145,0))*고양시_Modal_split!H$3 * 0.01</f>
        <v>1.1279763909166245E-5</v>
      </c>
      <c r="BI149" s="207">
        <f>INDEX($A$145:$H$158,MATCH($L149,$B$145:$B$158,0),MATCH($BC$144,$A$145:$H$145,0))*고양시_Modal_split!I$3 * 0.01</f>
        <v>3.135774366748216E-3</v>
      </c>
      <c r="BJ149" s="207">
        <f>INDEX($A$145:$H$158,MATCH($L149,$B$145:$B$158,0),MATCH($BC$144,$A$145:$H$145,0))*고양시_Modal_split!J$3 * 0.01</f>
        <v>3.4335601339502052E-2</v>
      </c>
      <c r="BK149" s="207">
        <f>INDEX($A$145:$H$158,MATCH($L149,$B$145:$B$158,0),MATCH($BC$144,$A$145:$H$145,0))*고양시_Modal_split!K$3 * 0.01</f>
        <v>1.6919645863749369E-4</v>
      </c>
      <c r="BL149" s="207">
        <f>INDEX($A$145:$H$158,MATCH($L149,$B$145:$B$158,0),MATCH($BC$144,$A$145:$H$145,0))*고양시_Modal_split!L$3 * 0.01</f>
        <v>3.4064887005682059E-3</v>
      </c>
      <c r="BM149" s="207">
        <f>INDEX($A$145:$H$158,MATCH($L149,$B$145:$B$158,0),MATCH($BC$144,$A$145:$H$145,0))*고양시_Modal_split!M$3 * 0.01</f>
        <v>2.5943456991082362E-4</v>
      </c>
      <c r="BN149" s="207">
        <f>INDEX($A$145:$H$158,MATCH($L149,$B$145:$B$158,0),MATCH($BC$144,$A$145:$H$145,0))*고양시_Modal_split!N$3 * 0.01</f>
        <v>1.1279763909166246E-4</v>
      </c>
      <c r="BO149" s="207">
        <f>INDEX($A$145:$H$158,MATCH($L149,$B$145:$B$158,0),MATCH($BC$144,$A$145:$H$145,0))*고양시_Modal_split!O$3 * 0.01</f>
        <v>2.030357503649924E-4</v>
      </c>
      <c r="BP149" s="207">
        <f>INDEX($A$145:$H$158,MATCH($L149,$B$145:$B$158,0),MATCH($BC$144,$A$145:$H$145,0))*고양시_Modal_split!P$3 * 0.01</f>
        <v>0.11279763909166246</v>
      </c>
      <c r="BQ149" s="207">
        <f>INDEX($A$145:$H$158,MATCH($L149,$B$145:$B$158,0),MATCH($BQ$144,$A$145:$H$145,0))*고양시_Modal_split!C$3 * 0.01</f>
        <v>1.1931483601695897E-3</v>
      </c>
      <c r="BR149" s="207">
        <f>INDEX($A$145:$H$158,MATCH($L149,$B$145:$B$158,0),MATCH($BQ$144,$A$145:$H$145,0))*고양시_Modal_split!D$3 * 0.01</f>
        <v>0.20040631206705645</v>
      </c>
      <c r="BS149" s="207">
        <f>INDEX($A$145:$H$158,MATCH($L149,$B$145:$B$158,0),MATCH($BQ$144,$A$145:$H$145,0))*고양시_Modal_split!E$3 * 0.01</f>
        <v>2.4246479176303445E-2</v>
      </c>
      <c r="BT149" s="207">
        <f>INDEX($A$145:$H$158,MATCH($L149,$B$145:$B$158,0),MATCH($BQ$144,$A$145:$H$145,0))*고양시_Modal_split!F$3 * 0.01</f>
        <v>3.9075608795554058E-2</v>
      </c>
      <c r="BU149" s="207">
        <f>INDEX($A$145:$H$158,MATCH($L149,$B$145:$B$158,0),MATCH($BQ$144,$A$145:$H$145,0))*고양시_Modal_split!G$3 * 0.01</f>
        <v>3.9203446119857946E-3</v>
      </c>
      <c r="BV149" s="207">
        <f>INDEX($A$145:$H$158,MATCH($L149,$B$145:$B$158,0),MATCH($BQ$144,$A$145:$H$145,0))*고양시_Modal_split!H$3 * 0.01</f>
        <v>4.2612441434628209E-5</v>
      </c>
      <c r="BW149" s="207">
        <f>INDEX($A$145:$H$158,MATCH($L149,$B$145:$B$158,0),MATCH($BQ$144,$A$145:$H$145,0))*고양시_Modal_split!I$3 * 0.01</f>
        <v>1.1846258718826639E-2</v>
      </c>
      <c r="BX149" s="207">
        <f>INDEX($A$145:$H$158,MATCH($L149,$B$145:$B$158,0),MATCH($BQ$144,$A$145:$H$145,0))*고양시_Modal_split!J$3 * 0.01</f>
        <v>0.12971227172700825</v>
      </c>
      <c r="BY149" s="207">
        <f>INDEX($A$145:$H$158,MATCH($L149,$B$145:$B$158,0),MATCH($BQ$144,$A$145:$H$145,0))*고양시_Modal_split!K$3 * 0.01</f>
        <v>6.3918662151942298E-4</v>
      </c>
      <c r="BZ149" s="207">
        <f>INDEX($A$145:$H$158,MATCH($L149,$B$145:$B$158,0),MATCH($BQ$144,$A$145:$H$145,0))*고양시_Modal_split!L$3 * 0.01</f>
        <v>1.2868957313257717E-2</v>
      </c>
      <c r="CA149" s="207">
        <f>INDEX($A$145:$H$158,MATCH($L149,$B$145:$B$158,0),MATCH($BQ$144,$A$145:$H$145,0))*고양시_Modal_split!M$3 * 0.01</f>
        <v>9.8008615299644865E-4</v>
      </c>
      <c r="CB149" s="207">
        <f>INDEX($A$145:$H$158,MATCH($L149,$B$145:$B$158,0),MATCH($BQ$144,$A$145:$H$145,0))*고양시_Modal_split!N$3 * 0.01</f>
        <v>4.2612441434628206E-4</v>
      </c>
      <c r="CC149" s="207">
        <f>INDEX($A$145:$H$158,MATCH($L149,$B$145:$B$158,0),MATCH($BQ$144,$A$145:$H$145,0))*고양시_Modal_split!O$3 * 0.01</f>
        <v>7.6702394582330762E-4</v>
      </c>
      <c r="CD149" s="207">
        <f>INDEX($A$145:$H$158,MATCH($L149,$B$145:$B$158,0),MATCH($BQ$144,$A$145:$H$145,0))*고양시_Modal_split!P$3 * 0.01</f>
        <v>0.42612441434628201</v>
      </c>
      <c r="CE149" s="304">
        <f t="shared" si="84"/>
        <v>4.1898457445319988</v>
      </c>
      <c r="CF149" s="304">
        <f t="shared" si="64"/>
        <v>703.74444773335699</v>
      </c>
      <c r="CG149" s="304">
        <f t="shared" si="65"/>
        <v>85.143651022810985</v>
      </c>
      <c r="CH149" s="304">
        <f t="shared" si="66"/>
        <v>137.21744813342301</v>
      </c>
      <c r="CI149" s="304">
        <f t="shared" si="67"/>
        <v>13.766636017747999</v>
      </c>
      <c r="CJ149" s="304">
        <f t="shared" si="68"/>
        <v>0.149637348019</v>
      </c>
      <c r="CK149" s="304">
        <f t="shared" si="69"/>
        <v>41.599182749282001</v>
      </c>
      <c r="CL149" s="304">
        <f t="shared" si="70"/>
        <v>455.49608736983595</v>
      </c>
      <c r="CM149" s="304">
        <f t="shared" si="71"/>
        <v>2.2445602202849999</v>
      </c>
      <c r="CN149" s="304">
        <f t="shared" si="72"/>
        <v>45.190479101737999</v>
      </c>
      <c r="CO149" s="304">
        <f t="shared" si="73"/>
        <v>3.4416590044369997</v>
      </c>
      <c r="CP149" s="304">
        <f t="shared" si="74"/>
        <v>1.4963734801899999</v>
      </c>
      <c r="CQ149" s="304">
        <f t="shared" si="75"/>
        <v>2.6934722643419997</v>
      </c>
      <c r="CR149" s="304">
        <f t="shared" si="76"/>
        <v>1496.3734801899998</v>
      </c>
      <c r="CS149" s="305">
        <f t="shared" si="85"/>
        <v>0</v>
      </c>
      <c r="CV149" s="265"/>
      <c r="CW149" s="265" t="s">
        <v>672</v>
      </c>
      <c r="CX149" s="267">
        <f>INDEX($M$144:$Z$158,MATCH($CW149,$L$144:$L$158,0),MATCH(CX$145,$M$145:$Z$145,0))/INDEX(고양시_재차인원!$D$4:$H$35,MATCH("고양시",고양시_재차인원!$B$4:$B$35,0),MATCH($CX$144,고양시_재차인원!$D$4:$H$4,0))</f>
        <v>72.594660416307093</v>
      </c>
      <c r="CY149" s="267">
        <f>INDEX($M$144:$Z$158,MATCH($CW149,$L$144:$L$158,0),MATCH(CY$145,$M$145:$Z$145,0))/INDEX(고양시_재차인원!$K$4:$O$20,MATCH("경기도",고양시_재차인원!$K$4:$K$20,0),MATCH(CY$145,고양시_재차인원!$K$4:$O$4,0))</f>
        <v>6.0049038386414909E-4</v>
      </c>
      <c r="CZ149" s="267">
        <f>INDEX($M$144:$Z$158,MATCH($CW149,$L$144:$L$158,0),MATCH(CZ$145,$M$145:$Z$145,0))/INDEX(고양시_재차인원!$K$4:$O$20,MATCH("경기도",고양시_재차인원!$K$4:$K$20,0),MATCH(CZ$145,고양시_재차인원!$K$4:$O$4,0))</f>
        <v>0.16693632671423342</v>
      </c>
      <c r="DA149" s="267">
        <f>INDEX($M$144:$Z$158,MATCH($CW149,$L$144:$L$158,0),MATCH(DA$145,$M$145:$Z$145,0))/INDEX(고양시_재차인원!$D$4:$H$35,MATCH("고양시",고양시_재차인원!$B$4:$B$35,0),MATCH($CX$144,고양시_재차인원!$D$4:$H$4,0))</f>
        <v>4.6616175729799574</v>
      </c>
      <c r="DB149" s="267">
        <f>INDEX($AA$144:$AN$158,MATCH($CW149,$L$144:$L$158,0),MATCH(DB$145,$AA$145:$AN$145,0))/INDEX(고양시_재차인원!$D$4:$H$35,MATCH("고양시",고양시_재차인원!$B$4:$B$35,0),MATCH($DB$144,고양시_재차인원!$D$4:$H$4,0))</f>
        <v>417.32503407705985</v>
      </c>
      <c r="DC149" s="267">
        <f>INDEX($AA$144:$AN$158,MATCH($CW149,$L$144:$L$158,0),MATCH(DC$145,$AA$145:$AN$145,0))/INDEX(고양시_재차인원!$K$4:$O$20,MATCH("경기도",고양시_재차인원!$K$4:$K$20,0),MATCH(DC$145,고양시_재차인원!$K$4:$O$4,0))</f>
        <v>4.3458717573697314E-3</v>
      </c>
      <c r="DD149" s="267">
        <f>INDEX($AA$144:$AN$158,MATCH($CW149,$L$144:$L$158,0),MATCH(DD$145,$AA$145:$AN$145,0))/INDEX(고양시_재차인원!$K$4:$O$20,MATCH("경기도",고양시_재차인원!$K$4:$K$20,0),MATCH(DD$145,고양시_재차인원!$K$4:$O$4,0))</f>
        <v>1.2081523485487851</v>
      </c>
      <c r="DE149" s="267">
        <f>INDEX($AA$144:$AN$158,MATCH($CW149,$L$144:$L$158,0),MATCH(DE$145,$AA$145:$AN$145,0))/INDEX(고양시_재차인원!$D$4:$H$35,MATCH("고양시",고양시_재차인원!$B$4:$B$35,0),MATCH($DB$144,고양시_재차인원!$D$4:$H$4,0))</f>
        <v>26.79824798878845</v>
      </c>
      <c r="DF149" s="267">
        <f>INDEX($AO$144:$BB$158,MATCH($CW149,$L$144:$L$158,0),MATCH(DF$145,$AO$145:$BB$145,0))/INDEX(고양시_재차인원!$D$4:$H$35,MATCH("고양시",고양시_재차인원!$B$4:$B$35,0),MATCH($DF$144,고양시_재차인원!$D$4:$H$4,0))</f>
        <v>25.966673059005206</v>
      </c>
      <c r="DG149" s="267">
        <f>INDEX($AO$144:$BB$158,MATCH($CW149,$L$144:$L$158,0),MATCH(DG$145,$AO$145:$BB$145,0))/INDEX(고양시_재차인원!$K$4:$O$20,MATCH("경기도",고양시_재차인원!$K$4:$K$20,0),MATCH(DG$145,고양시_재차인원!$K$4:$O$4,0))</f>
        <v>2.4931190578439746E-4</v>
      </c>
      <c r="DH149" s="267">
        <f>INDEX($AO$144:$BB$158,MATCH($CW149,$L$144:$L$158,0),MATCH(DH$145,$AO$145:$BB$145,0))/INDEX(고양시_재차인원!$K$4:$O$20,MATCH("경기도",고양시_재차인원!$K$4:$K$20,0),MATCH(DH$145,고양시_재차인원!$K$4:$O$4,0))</f>
        <v>6.9308709808062474E-2</v>
      </c>
      <c r="DI149" s="267">
        <f>INDEX($AO$144:$BB$158,MATCH($CW149,$L$144:$L$158,0),MATCH(DI$145,$AO$145:$BB$145,0))/INDEX(고양시_재차인원!$D$4:$H$35,MATCH("고양시",고양시_재차인원!$B$4:$B$35,0),MATCH($DF$144,고양시_재차인원!$D$4:$H$4,0))</f>
        <v>1.6674325459960817</v>
      </c>
      <c r="DJ149" s="267">
        <f>INDEX($BC$144:$BP$158,MATCH($CW149,$L$144:$L$158,0),MATCH(DJ$145,$BC$145:$BP$145,0))/INDEX(고양시_재차인원!$D$4:$H$35,MATCH("고양시",고양시_재차인원!$B$4:$B$35,0),MATCH($DJ$144,고양시_재차인원!$D$4:$H$4,0))</f>
        <v>3.9006418871182974E-2</v>
      </c>
      <c r="DK149" s="267">
        <f>INDEX($BC$144:$BP$158,MATCH($CW149,$L$144:$L$158,0),MATCH(DK$145,$BC$145:$BP$145,0))/INDEX(고양시_재차인원!$K$4:$O$20,MATCH("경기도",고양시_재차인원!$K$4:$K$20,0),MATCH(DK$145,고양시_재차인원!$K$4:$O$4,0))</f>
        <v>3.9179450882828222E-7</v>
      </c>
      <c r="DL149" s="267">
        <f>INDEX($BC$144:$BP$158,MATCH($CW149,$L$144:$L$158,0),MATCH(DL$145,$BC$145:$BP$145,0))/INDEX(고양시_재차인원!$K$4:$O$20,MATCH("경기도",고양시_재차인원!$K$4:$K$20,0),MATCH(DL$145,고양시_재차인원!$K$4:$O$4,0))</f>
        <v>1.0891887345426245E-4</v>
      </c>
      <c r="DM149" s="267">
        <f>INDEX($BC$144:$BP$158,MATCH($CW149,$L$144:$L$158,0),MATCH(DM$145,$BC$145:$BP$145,0))/INDEX(고양시_재차인원!$D$4:$H$35,MATCH("고양시",고양시_재차인원!$B$4:$B$35,0),MATCH($DJ$144,고양시_재차인원!$D$4:$H$4,0))</f>
        <v>2.5047711033589748E-3</v>
      </c>
      <c r="DN149" s="267">
        <f>INDEX($BQ$144:$CD$158,MATCH($CW149,$L$144:$L$158,0),MATCH(DN$145,$BQ$145:$CD$145,0))/INDEX(고양시_재차인원!$D$4:$H$35,MATCH("고양시",고양시_재차인원!$B$4:$B$35,0),MATCH($DN$144,고양시_재차인원!$D$4:$H$4,0))</f>
        <v>0.15905262862464797</v>
      </c>
      <c r="DO149" s="267">
        <f>INDEX($BQ$144:$CD$158,MATCH($CW149,$L$144:$L$158,0),MATCH(DO$145,$BQ$145:$CD$145,0))/INDEX(고양시_재차인원!$K$4:$O$20,MATCH("경기도",고양시_재차인원!$K$4:$K$20,0),MATCH(DO$145,고양시_재차인원!$K$4:$O$4,0))</f>
        <v>1.4801125889068499E-6</v>
      </c>
      <c r="DP149" s="267">
        <f>INDEX($BQ$144:$CD$158,MATCH($CW149,$L$144:$L$158,0),MATCH(DP$145,$BQ$145:$CD$145,0))/INDEX(고양시_재차인원!$K$4:$O$20,MATCH("경기도",고양시_재차인원!$K$4:$K$20,0),MATCH(DP$145,고양시_재차인원!$K$4:$O$4,0))</f>
        <v>4.1147129971610415E-4</v>
      </c>
      <c r="DQ149" s="267">
        <f>INDEX($BQ$144:$CD$158,MATCH($CW149,$L$144:$L$158,0),MATCH(DQ$145,$BQ$145:$CD$145,0))/INDEX(고양시_재차인원!$D$4:$H$35,MATCH("고양시",고양시_재차인원!$B$4:$B$35,0),MATCH($DN$144,고양시_재차인원!$D$4:$H$4,0))</f>
        <v>1.0213458185125172E-2</v>
      </c>
      <c r="DR149" s="270">
        <f t="shared" si="86"/>
        <v>516.08442659986792</v>
      </c>
      <c r="DS149" s="270">
        <f t="shared" si="77"/>
        <v>5.1975459541160132E-3</v>
      </c>
      <c r="DT149" s="270">
        <f t="shared" si="78"/>
        <v>1.4449177752442512</v>
      </c>
      <c r="DU149" s="270">
        <f t="shared" si="79"/>
        <v>33.140016337052977</v>
      </c>
      <c r="DW149" s="278"/>
      <c r="DX149" s="278" t="s">
        <v>672</v>
      </c>
      <c r="DY149" s="281">
        <f t="shared" si="87"/>
        <v>549.22444293692092</v>
      </c>
      <c r="DZ149" s="281">
        <f t="shared" si="88"/>
        <v>1.4501153211983673</v>
      </c>
      <c r="EB149" s="278"/>
      <c r="EC149" s="278" t="s">
        <v>672</v>
      </c>
      <c r="ED149" s="281">
        <f t="shared" si="89"/>
        <v>549.22444293692092</v>
      </c>
      <c r="EE149" s="281">
        <f t="shared" si="80"/>
        <v>1.4501153211983673</v>
      </c>
      <c r="EL149" s="306" t="s">
        <v>12</v>
      </c>
      <c r="EM149" s="306" t="s">
        <v>360</v>
      </c>
      <c r="EN149" s="306">
        <v>6559.1377000000002</v>
      </c>
      <c r="EO149" s="306">
        <v>9.7934096505675777E-2</v>
      </c>
      <c r="EP149" s="307">
        <v>849104</v>
      </c>
      <c r="EQ149" s="308">
        <f t="shared" si="90"/>
        <v>20.433996568538571</v>
      </c>
      <c r="ER149" s="308">
        <f t="shared" si="91"/>
        <v>5.3951807641518017E-2</v>
      </c>
      <c r="ET149" s="420" t="s">
        <v>12</v>
      </c>
      <c r="EU149" s="420" t="s">
        <v>360</v>
      </c>
      <c r="EV149" s="420">
        <v>6559.1377000000002</v>
      </c>
      <c r="EW149" s="420">
        <v>9.7934096505675777E-2</v>
      </c>
      <c r="EX149" s="421">
        <v>849104</v>
      </c>
      <c r="EY149" s="422">
        <f t="shared" si="92"/>
        <v>19.851627666335222</v>
      </c>
      <c r="EZ149" s="422">
        <f t="shared" si="81"/>
        <v>5.2414181123734756E-2</v>
      </c>
      <c r="FA149">
        <v>0</v>
      </c>
      <c r="FD149" s="306" t="s">
        <v>12</v>
      </c>
      <c r="FE149" s="306" t="s">
        <v>360</v>
      </c>
      <c r="FF149" s="306">
        <v>6559.1377000000002</v>
      </c>
      <c r="FG149" s="306">
        <v>9.7934096505675777E-2</v>
      </c>
      <c r="FH149" s="307">
        <v>849104</v>
      </c>
      <c r="FI149" s="308">
        <f t="shared" si="82"/>
        <v>19.851627666335222</v>
      </c>
      <c r="FJ149" s="308">
        <f t="shared" si="83"/>
        <v>5.2414181123734756E-2</v>
      </c>
      <c r="FL149" s="101"/>
      <c r="FM149" s="101"/>
      <c r="FN149" s="101"/>
      <c r="FO149" s="101"/>
      <c r="FP149" s="374"/>
      <c r="FQ149" s="404"/>
      <c r="FR149" s="404"/>
    </row>
    <row r="150" spans="1:174" ht="25">
      <c r="A150" s="205"/>
      <c r="B150" s="205" t="s">
        <v>674</v>
      </c>
      <c r="C150" s="400">
        <f>$AB65*KTDB_TripDistribution_2025!T$12 * (1+KTDB_발생량도착량_증가율!$C$7*2)</f>
        <v>302.57287327785207</v>
      </c>
      <c r="D150" s="400">
        <f>$AB65*KTDB_TripDistribution_2025!U$12 * (1+KTDB_발생량도착량_증가율!$C$7*2)</f>
        <v>2189.7817847852698</v>
      </c>
      <c r="E150" s="400">
        <f>$AB65*KTDB_TripDistribution_2025!V$12 * (1+KTDB_발생량도착량_증가율!$C$7*2)</f>
        <v>125.62236082805983</v>
      </c>
      <c r="F150" s="400">
        <f>$AB65*KTDB_TripDistribution_2025!W$12 * (1+KTDB_발생량도착량_증가율!$C$7*2)</f>
        <v>0.19741596777589251</v>
      </c>
      <c r="G150" s="400">
        <f>$AB65*KTDB_TripDistribution_2025!X$12 * (1+KTDB_발생량도착량_증가율!$C$7*2)</f>
        <v>0.74579365604226322</v>
      </c>
      <c r="H150" s="400">
        <f>$AB65*KTDB_TripDistribution_2025!Y$12 * (1+KTDB_발생량도착량_증가율!$C$7*2)</f>
        <v>2618.9202285150004</v>
      </c>
      <c r="J150" s="230">
        <f t="shared" si="63"/>
        <v>2618.9202285149995</v>
      </c>
      <c r="K150" s="206"/>
      <c r="L150" s="206" t="s">
        <v>674</v>
      </c>
      <c r="M150" s="206">
        <f>INDEX($A$145:$H$158,MATCH($L150,$B$145:$B$158,0),MATCH($M$144,$A$145:$H$145,0))*고양시_Modal_split!C$3 * 0.01</f>
        <v>0.84720404517798575</v>
      </c>
      <c r="N150" s="206">
        <f>INDEX($A$145:$H$158,MATCH($L150,$B$145:$B$158,0),MATCH($M$144,$A$145:$H$145,0))*고양시_Modal_split!D$3 * 0.01</f>
        <v>142.30002230257384</v>
      </c>
      <c r="O150" s="206">
        <f>INDEX($A$145:$H$158,MATCH($L150,$B$145:$B$158,0),MATCH($M$144,$A$145:$H$145,0))*고양시_Modal_split!E$3 * 0.01</f>
        <v>17.216396489509783</v>
      </c>
      <c r="P150" s="206">
        <f>INDEX($A$145:$H$158,MATCH($L150,$B$145:$B$158,0),MATCH($M$144,$A$145:$H$145,0))*고양시_Modal_split!F$3 * 0.01</f>
        <v>27.745932479579032</v>
      </c>
      <c r="Q150" s="206">
        <f>INDEX($A$145:$H$158,MATCH($L150,$B$145:$B$158,0),MATCH($M$144,$A$145:$H$145,0))*고양시_Modal_split!G$3 * 0.01</f>
        <v>2.7836704341562388</v>
      </c>
      <c r="R150" s="206">
        <f>INDEX($A$145:$H$158,MATCH($L150,$B$145:$B$158,0),MATCH($M$144,$A$145:$H$145,0))*고양시_Modal_split!H$3 * 0.01</f>
        <v>3.0257287327785209E-2</v>
      </c>
      <c r="S150" s="206">
        <f>INDEX($A$145:$H$158,MATCH($L150,$B$145:$B$158,0),MATCH($M$144,$A$145:$H$145,0))*고양시_Modal_split!I$3 * 0.01</f>
        <v>8.4115258771242871</v>
      </c>
      <c r="T150" s="206">
        <f>INDEX($A$145:$H$158,MATCH($L150,$B$145:$B$158,0),MATCH($M$144,$A$145:$H$145,0))*고양시_Modal_split!J$3 * 0.01</f>
        <v>92.103182625778174</v>
      </c>
      <c r="U150" s="206">
        <f>INDEX($A$145:$H$158,MATCH($L150,$B$145:$B$158,0),MATCH($M$144,$A$145:$H$145,0))*고양시_Modal_split!K$3 * 0.01</f>
        <v>0.45385930991677809</v>
      </c>
      <c r="V150" s="206">
        <f>INDEX($A$145:$H$158,MATCH($L150,$B$145:$B$158,0),MATCH($M$144,$A$145:$H$145,0))*고양시_Modal_split!L$3 * 0.01</f>
        <v>9.137700772991133</v>
      </c>
      <c r="W150" s="206">
        <f>INDEX($A$145:$H$158,MATCH($L150,$B$145:$B$158,0),MATCH($M$144,$A$145:$H$145,0))*고양시_Modal_split!M$3 * 0.01</f>
        <v>0.69591760853905971</v>
      </c>
      <c r="X150" s="206">
        <f>INDEX($A$145:$H$158,MATCH($L150,$B$145:$B$158,0),MATCH($M$144,$A$145:$H$145,0))*고양시_Modal_split!N$3 * 0.01</f>
        <v>0.30257287327785209</v>
      </c>
      <c r="Y150" s="206">
        <f>INDEX($A$145:$H$158,MATCH($L150,$B$145:$B$158,0),MATCH($M$144,$A$145:$H$145,0))*고양시_Modal_split!O$3 * 0.01</f>
        <v>0.54463117190013377</v>
      </c>
      <c r="Z150" s="209">
        <f>INDEX($A$145:$H$158,MATCH($L150,$B$145:$B$158,0),MATCH($M$144,$A$145:$H$145,0))*고양시_Modal_split!P$3 * 0.01</f>
        <v>302.57287327785207</v>
      </c>
      <c r="AA150" s="207">
        <f>INDEX($A$145:$H$158,MATCH($L150,$B$145:$B$158,0),MATCH($AA$144,$A$145:$H$145,0))*고양시_Modal_split!C$3 * 0.01</f>
        <v>6.131388997398755</v>
      </c>
      <c r="AB150" s="207">
        <f>INDEX($A$145:$H$158,MATCH($L150,$B$145:$B$158,0),MATCH($AA$144,$A$145:$H$145,0))*고양시_Modal_split!D$3 * 0.01</f>
        <v>1029.8543733845124</v>
      </c>
      <c r="AC150" s="207">
        <f>INDEX($A$145:$H$158,MATCH($L150,$B$145:$B$158,0),MATCH($AA$144,$A$145:$H$145,0))*고양시_Modal_split!E$3 * 0.01</f>
        <v>124.59858355428183</v>
      </c>
      <c r="AD150" s="207">
        <f>INDEX($A$145:$H$158,MATCH($L150,$B$145:$B$158,0),MATCH($AA$144,$A$145:$H$145,0))*고양시_Modal_split!F$3 * 0.01</f>
        <v>200.80298966480925</v>
      </c>
      <c r="AE150" s="207">
        <f>INDEX($A$145:$H$158,MATCH($L150,$B$145:$B$158,0),MATCH($AA$144,$A$145:$H$145,0))*고양시_Modal_split!G$3 * 0.01</f>
        <v>20.145992420024481</v>
      </c>
      <c r="AF150" s="207">
        <f>INDEX($A$145:$H$158,MATCH($L150,$B$145:$B$158,0),MATCH($AA$144,$A$145:$H$145,0))*고양시_Modal_split!H$3 * 0.01</f>
        <v>0.21897817847852699</v>
      </c>
      <c r="AG150" s="207">
        <f>INDEX($A$145:$H$158,MATCH($L150,$B$145:$B$158,0),MATCH($AA$144,$A$145:$H$145,0))*고양시_Modal_split!I$3 * 0.01</f>
        <v>60.875933617030498</v>
      </c>
      <c r="AH150" s="207">
        <f>INDEX($A$145:$H$158,MATCH($L150,$B$145:$B$158,0),MATCH($AA$144,$A$145:$H$145,0))*고양시_Modal_split!J$3 * 0.01</f>
        <v>666.56957528863609</v>
      </c>
      <c r="AI150" s="207">
        <f>INDEX($A$145:$H$158,MATCH($L150,$B$145:$B$158,0),MATCH($AA$144,$A$145:$H$145,0))*고양시_Modal_split!K$3 * 0.01</f>
        <v>3.2846726771779045</v>
      </c>
      <c r="AJ150" s="207">
        <f>INDEX($A$145:$H$158,MATCH($L150,$B$145:$B$158,0),MATCH($AA$144,$A$145:$H$145,0))*고양시_Modal_split!L$3 * 0.01</f>
        <v>66.131409900515152</v>
      </c>
      <c r="AK150" s="207">
        <f>INDEX($A$145:$H$158,MATCH($L150,$B$145:$B$158,0),MATCH($AA$144,$A$145:$H$145,0))*고양시_Modal_split!M$3 * 0.01</f>
        <v>5.0364981050061202</v>
      </c>
      <c r="AL150" s="207">
        <f>INDEX($A$145:$H$158,MATCH($L150,$B$145:$B$158,0),MATCH($AA$144,$A$145:$H$145,0))*고양시_Modal_split!N$3 * 0.01</f>
        <v>2.1897817847852701</v>
      </c>
      <c r="AM150" s="207">
        <f>INDEX($A$145:$H$158,MATCH($L150,$B$145:$B$158,0),MATCH($AA$144,$A$145:$H$145,0))*고양시_Modal_split!O$3 * 0.01</f>
        <v>3.9416072126134858</v>
      </c>
      <c r="AN150" s="207">
        <f>INDEX($A$145:$H$158,MATCH($L150,$B$145:$B$158,0),MATCH($AA$144,$A$145:$H$145,0))*고양시_Modal_split!P$3 * 0.01</f>
        <v>2189.7817847852698</v>
      </c>
      <c r="AO150" s="303">
        <f>INDEX($A$145:$H$158,MATCH($L150,$B$145:$B$158,0),MATCH($AO$144,$A$145:$H$145,0))*고양시_Modal_split!C$3 * 0.01</f>
        <v>0.35174261031856746</v>
      </c>
      <c r="AP150" s="303">
        <f>INDEX($A$145:$H$158,MATCH($L150,$B$145:$B$158,0),MATCH($AO$144,$A$145:$H$145,0))*고양시_Modal_split!D$3 * 0.01</f>
        <v>59.080196297436544</v>
      </c>
      <c r="AQ150" s="303">
        <f>INDEX($A$145:$H$158,MATCH($L150,$B$145:$B$158,0),MATCH($AO$144,$A$145:$H$145,0))*고양시_Modal_split!E$3 * 0.01</f>
        <v>7.1479123311166033</v>
      </c>
      <c r="AR150" s="303">
        <f>INDEX($A$145:$H$158,MATCH($L150,$B$145:$B$158,0),MATCH($AO$144,$A$145:$H$145,0))*고양시_Modal_split!F$3 * 0.01</f>
        <v>11.519570487933086</v>
      </c>
      <c r="AS150" s="303">
        <f>INDEX($A$145:$H$158,MATCH($L150,$B$145:$B$158,0),MATCH($AO$144,$A$145:$H$145,0))*고양시_Modal_split!G$3 * 0.01</f>
        <v>1.1557257196181503</v>
      </c>
      <c r="AT150" s="303">
        <f>INDEX($A$145:$H$158,MATCH($L150,$B$145:$B$158,0),MATCH($AO$144,$A$145:$H$145,0))*고양시_Modal_split!H$3 * 0.01</f>
        <v>1.2562236082805982E-2</v>
      </c>
      <c r="AU150" s="303">
        <f>INDEX($A$145:$H$158,MATCH($L150,$B$145:$B$158,0),MATCH($AO$144,$A$145:$H$145,0))*고양시_Modal_split!I$3 * 0.01</f>
        <v>3.4923016310200632</v>
      </c>
      <c r="AV150" s="303">
        <f>INDEX($A$145:$H$158,MATCH($L150,$B$145:$B$158,0),MATCH($AO$144,$A$145:$H$145,0))*고양시_Modal_split!J$3 * 0.01</f>
        <v>38.239446636061409</v>
      </c>
      <c r="AW150" s="303">
        <f>INDEX($A$145:$H$158,MATCH($L150,$B$145:$B$158,0),MATCH($AO$144,$A$145:$H$145,0))*고양시_Modal_split!K$3 * 0.01</f>
        <v>0.18843354124208972</v>
      </c>
      <c r="AX150" s="303">
        <f>INDEX($A$145:$H$158,MATCH($L150,$B$145:$B$158,0),MATCH($AO$144,$A$145:$H$145,0))*고양시_Modal_split!L$3 * 0.01</f>
        <v>3.7937952970074065</v>
      </c>
      <c r="AY150" s="303">
        <f>INDEX($A$145:$H$158,MATCH($L150,$B$145:$B$158,0),MATCH($AO$144,$A$145:$H$145,0))*고양시_Modal_split!M$3 * 0.01</f>
        <v>0.28893142990453757</v>
      </c>
      <c r="AZ150" s="303">
        <f>INDEX($A$145:$H$158,MATCH($L150,$B$145:$B$158,0),MATCH($AO$144,$A$145:$H$145,0))*고양시_Modal_split!N$3 * 0.01</f>
        <v>0.12562236082805983</v>
      </c>
      <c r="BA150" s="207">
        <f>INDEX($A$145:$H$158,MATCH($L150,$B$145:$B$158,0),MATCH($AO$144,$A$145:$H$145,0))*고양시_Modal_split!O$3 * 0.01</f>
        <v>0.22612024949050769</v>
      </c>
      <c r="BB150" s="207">
        <f>INDEX($A$145:$H$158,MATCH($L150,$B$145:$B$158,0),MATCH($AO$144,$A$145:$H$145,0))*고양시_Modal_split!P$3 * 0.01</f>
        <v>125.62236082805983</v>
      </c>
      <c r="BC150" s="207">
        <f>INDEX($A$145:$H$158,MATCH($L150,$B$145:$B$158,0),MATCH($BC$144,$A$145:$H$145,0))*고양시_Modal_split!C$3 * 0.01</f>
        <v>5.5276470977249899E-4</v>
      </c>
      <c r="BD150" s="207">
        <f>INDEX($A$145:$H$158,MATCH($L150,$B$145:$B$158,0),MATCH($BC$144,$A$145:$H$145,0))*고양시_Modal_split!D$3 * 0.01</f>
        <v>9.2844729645002247E-2</v>
      </c>
      <c r="BE150" s="207">
        <f>INDEX($A$145:$H$158,MATCH($L150,$B$145:$B$158,0),MATCH($BC$144,$A$145:$H$145,0))*고양시_Modal_split!E$3 * 0.01</f>
        <v>1.1232968566448284E-2</v>
      </c>
      <c r="BF150" s="207">
        <f>INDEX($A$145:$H$158,MATCH($L150,$B$145:$B$158,0),MATCH($BC$144,$A$145:$H$145,0))*고양시_Modal_split!F$3 * 0.01</f>
        <v>1.8103044245049344E-2</v>
      </c>
      <c r="BG150" s="207">
        <f>INDEX($A$145:$H$158,MATCH($L150,$B$145:$B$158,0),MATCH($BC$144,$A$145:$H$145,0))*고양시_Modal_split!G$3 * 0.01</f>
        <v>1.8162269035382108E-3</v>
      </c>
      <c r="BH150" s="207">
        <f>INDEX($A$145:$H$158,MATCH($L150,$B$145:$B$158,0),MATCH($BC$144,$A$145:$H$145,0))*고양시_Modal_split!H$3 * 0.01</f>
        <v>1.9741596777589249E-5</v>
      </c>
      <c r="BI150" s="207">
        <f>INDEX($A$145:$H$158,MATCH($L150,$B$145:$B$158,0),MATCH($BC$144,$A$145:$H$145,0))*고양시_Modal_split!I$3 * 0.01</f>
        <v>5.4881639041698118E-3</v>
      </c>
      <c r="BJ150" s="207">
        <f>INDEX($A$145:$H$158,MATCH($L150,$B$145:$B$158,0),MATCH($BC$144,$A$145:$H$145,0))*고양시_Modal_split!J$3 * 0.01</f>
        <v>6.0093420590981682E-2</v>
      </c>
      <c r="BK150" s="207">
        <f>INDEX($A$145:$H$158,MATCH($L150,$B$145:$B$158,0),MATCH($BC$144,$A$145:$H$145,0))*고양시_Modal_split!K$3 * 0.01</f>
        <v>2.9612395166383874E-4</v>
      </c>
      <c r="BL150" s="207">
        <f>INDEX($A$145:$H$158,MATCH($L150,$B$145:$B$158,0),MATCH($BC$144,$A$145:$H$145,0))*고양시_Modal_split!L$3 * 0.01</f>
        <v>5.9619622268319537E-3</v>
      </c>
      <c r="BM150" s="207">
        <f>INDEX($A$145:$H$158,MATCH($L150,$B$145:$B$158,0),MATCH($BC$144,$A$145:$H$145,0))*고양시_Modal_split!M$3 * 0.01</f>
        <v>4.5405672588455271E-4</v>
      </c>
      <c r="BN150" s="207">
        <f>INDEX($A$145:$H$158,MATCH($L150,$B$145:$B$158,0),MATCH($BC$144,$A$145:$H$145,0))*고양시_Modal_split!N$3 * 0.01</f>
        <v>1.9741596777589254E-4</v>
      </c>
      <c r="BO150" s="207">
        <f>INDEX($A$145:$H$158,MATCH($L150,$B$145:$B$158,0),MATCH($BC$144,$A$145:$H$145,0))*고양시_Modal_split!O$3 * 0.01</f>
        <v>3.5534874199660653E-4</v>
      </c>
      <c r="BP150" s="207">
        <f>INDEX($A$145:$H$158,MATCH($L150,$B$145:$B$158,0),MATCH($BC$144,$A$145:$H$145,0))*고양시_Modal_split!P$3 * 0.01</f>
        <v>0.19741596777589251</v>
      </c>
      <c r="BQ150" s="207">
        <f>INDEX($A$145:$H$158,MATCH($L150,$B$145:$B$158,0),MATCH($BQ$144,$A$145:$H$145,0))*고양시_Modal_split!C$3 * 0.01</f>
        <v>2.0882222369183368E-3</v>
      </c>
      <c r="BR150" s="207">
        <f>INDEX($A$145:$H$158,MATCH($L150,$B$145:$B$158,0),MATCH($BQ$144,$A$145:$H$145,0))*고양시_Modal_split!D$3 * 0.01</f>
        <v>0.35074675643667641</v>
      </c>
      <c r="BS150" s="207">
        <f>INDEX($A$145:$H$158,MATCH($L150,$B$145:$B$158,0),MATCH($BQ$144,$A$145:$H$145,0))*고양시_Modal_split!E$3 * 0.01</f>
        <v>4.2435659028804772E-2</v>
      </c>
      <c r="BT150" s="207">
        <f>INDEX($A$145:$H$158,MATCH($L150,$B$145:$B$158,0),MATCH($BQ$144,$A$145:$H$145,0))*고양시_Modal_split!F$3 * 0.01</f>
        <v>6.8389278259075537E-2</v>
      </c>
      <c r="BU150" s="207">
        <f>INDEX($A$145:$H$158,MATCH($L150,$B$145:$B$158,0),MATCH($BQ$144,$A$145:$H$145,0))*고양시_Modal_split!G$3 * 0.01</f>
        <v>6.8613016355888214E-3</v>
      </c>
      <c r="BV150" s="207">
        <f>INDEX($A$145:$H$158,MATCH($L150,$B$145:$B$158,0),MATCH($BQ$144,$A$145:$H$145,0))*고양시_Modal_split!H$3 * 0.01</f>
        <v>7.4579365604226315E-5</v>
      </c>
      <c r="BW150" s="207">
        <f>INDEX($A$145:$H$158,MATCH($L150,$B$145:$B$158,0),MATCH($BQ$144,$A$145:$H$145,0))*고양시_Modal_split!I$3 * 0.01</f>
        <v>2.0733063637974919E-2</v>
      </c>
      <c r="BX150" s="207">
        <f>INDEX($A$145:$H$158,MATCH($L150,$B$145:$B$158,0),MATCH($BQ$144,$A$145:$H$145,0))*고양시_Modal_split!J$3 * 0.01</f>
        <v>0.22701958889926496</v>
      </c>
      <c r="BY150" s="207">
        <f>INDEX($A$145:$H$158,MATCH($L150,$B$145:$B$158,0),MATCH($BQ$144,$A$145:$H$145,0))*고양시_Modal_split!K$3 * 0.01</f>
        <v>1.1186904840633947E-3</v>
      </c>
      <c r="BZ150" s="207">
        <f>INDEX($A$145:$H$158,MATCH($L150,$B$145:$B$158,0),MATCH($BQ$144,$A$145:$H$145,0))*고양시_Modal_split!L$3 * 0.01</f>
        <v>2.2522968412476349E-2</v>
      </c>
      <c r="CA150" s="207">
        <f>INDEX($A$145:$H$158,MATCH($L150,$B$145:$B$158,0),MATCH($BQ$144,$A$145:$H$145,0))*고양시_Modal_split!M$3 * 0.01</f>
        <v>1.7153254088972053E-3</v>
      </c>
      <c r="CB150" s="207">
        <f>INDEX($A$145:$H$158,MATCH($L150,$B$145:$B$158,0),MATCH($BQ$144,$A$145:$H$145,0))*고양시_Modal_split!N$3 * 0.01</f>
        <v>7.4579365604226329E-4</v>
      </c>
      <c r="CC150" s="207">
        <f>INDEX($A$145:$H$158,MATCH($L150,$B$145:$B$158,0),MATCH($BQ$144,$A$145:$H$145,0))*고양시_Modal_split!O$3 * 0.01</f>
        <v>1.3424285808760739E-3</v>
      </c>
      <c r="CD150" s="207">
        <f>INDEX($A$145:$H$158,MATCH($L150,$B$145:$B$158,0),MATCH($BQ$144,$A$145:$H$145,0))*고양시_Modal_split!P$3 * 0.01</f>
        <v>0.74579365604226322</v>
      </c>
      <c r="CE150" s="304">
        <f t="shared" si="84"/>
        <v>7.3329766398419984</v>
      </c>
      <c r="CF150" s="304">
        <f t="shared" si="64"/>
        <v>1231.6781834706044</v>
      </c>
      <c r="CG150" s="304">
        <f t="shared" si="65"/>
        <v>149.01656100250347</v>
      </c>
      <c r="CH150" s="304">
        <f t="shared" si="66"/>
        <v>240.15498495482549</v>
      </c>
      <c r="CI150" s="304">
        <f t="shared" si="67"/>
        <v>24.094066102337997</v>
      </c>
      <c r="CJ150" s="304">
        <f t="shared" si="68"/>
        <v>0.26189202285149998</v>
      </c>
      <c r="CK150" s="304">
        <f t="shared" si="69"/>
        <v>72.80598235271701</v>
      </c>
      <c r="CL150" s="304">
        <f t="shared" si="70"/>
        <v>797.19931755996583</v>
      </c>
      <c r="CM150" s="304">
        <f t="shared" si="71"/>
        <v>3.928380342772499</v>
      </c>
      <c r="CN150" s="304">
        <f t="shared" si="72"/>
        <v>79.091390901153005</v>
      </c>
      <c r="CO150" s="304">
        <f t="shared" si="73"/>
        <v>6.0235165255844993</v>
      </c>
      <c r="CP150" s="304">
        <f t="shared" si="74"/>
        <v>2.6189202285149999</v>
      </c>
      <c r="CQ150" s="304">
        <f t="shared" si="75"/>
        <v>4.7140564113270003</v>
      </c>
      <c r="CR150" s="304">
        <f t="shared" si="76"/>
        <v>2618.9202285149995</v>
      </c>
      <c r="CS150" s="305">
        <f t="shared" si="85"/>
        <v>0</v>
      </c>
      <c r="CV150" s="265"/>
      <c r="CW150" s="265" t="s">
        <v>674</v>
      </c>
      <c r="CX150" s="267">
        <f>INDEX($M$144:$Z$158,MATCH($CW150,$L$144:$L$158,0),MATCH(CX$145,$M$145:$Z$145,0))/INDEX(고양시_재차인원!$D$4:$H$35,MATCH("고양시",고양시_재차인원!$B$4:$B$35,0),MATCH($CX$144,고양시_재차인원!$D$4:$H$4,0))</f>
        <v>127.05359134158377</v>
      </c>
      <c r="CY150" s="267">
        <f>INDEX($M$144:$Z$158,MATCH($CW150,$L$144:$L$158,0),MATCH(CY$145,$M$145:$Z$145,0))/INDEX(고양시_재차인원!$K$4:$O$20,MATCH("경기도",고양시_재차인원!$K$4:$K$20,0),MATCH(CY$145,고양시_재차인원!$K$4:$O$4,0))</f>
        <v>1.0509651728997989E-3</v>
      </c>
      <c r="CZ150" s="267">
        <f>INDEX($M$144:$Z$158,MATCH($CW150,$L$144:$L$158,0),MATCH(CZ$145,$M$145:$Z$145,0))/INDEX(고양시_재차인원!$K$4:$O$20,MATCH("경기도",고양시_재차인원!$K$4:$K$20,0),MATCH(CZ$145,고양시_재차인원!$K$4:$O$4,0))</f>
        <v>0.29216831806614407</v>
      </c>
      <c r="DA150" s="267">
        <f>INDEX($M$144:$Z$158,MATCH($CW150,$L$144:$L$158,0),MATCH(DA$145,$M$145:$Z$145,0))/INDEX(고양시_재차인원!$D$4:$H$35,MATCH("고양시",고양시_재차인원!$B$4:$B$35,0),MATCH($CX$144,고양시_재차인원!$D$4:$H$4,0))</f>
        <v>8.1586614044563674</v>
      </c>
      <c r="DB150" s="267">
        <f>INDEX($AA$144:$AN$158,MATCH($CW150,$L$144:$L$158,0),MATCH(DB$145,$AA$145:$AN$145,0))/INDEX(고양시_재차인원!$D$4:$H$35,MATCH("고양시",고양시_재차인원!$B$4:$B$35,0),MATCH($DB$144,고양시_재차인원!$D$4:$H$4,0))</f>
        <v>730.39317261312942</v>
      </c>
      <c r="DC150" s="267">
        <f>INDEX($AA$144:$AN$158,MATCH($CW150,$L$144:$L$158,0),MATCH(DC$145,$AA$145:$AN$145,0))/INDEX(고양시_재차인원!$K$4:$O$20,MATCH("경기도",고양시_재차인원!$K$4:$K$20,0),MATCH(DC$145,고양시_재차인원!$K$4:$O$4,0))</f>
        <v>7.6060499645198678E-3</v>
      </c>
      <c r="DD150" s="267">
        <f>INDEX($AA$144:$AN$158,MATCH($CW150,$L$144:$L$158,0),MATCH(DD$145,$AA$145:$AN$145,0))/INDEX(고양시_재차인원!$K$4:$O$20,MATCH("경기도",고양시_재차인원!$K$4:$K$20,0),MATCH(DD$145,고양시_재차인원!$K$4:$O$4,0))</f>
        <v>2.1144818901365232</v>
      </c>
      <c r="DE150" s="267">
        <f>INDEX($AA$144:$AN$158,MATCH($CW150,$L$144:$L$158,0),MATCH(DE$145,$AA$145:$AN$145,0))/INDEX(고양시_재차인원!$D$4:$H$35,MATCH("고양시",고양시_재차인원!$B$4:$B$35,0),MATCH($DB$144,고양시_재차인원!$D$4:$H$4,0))</f>
        <v>46.901709149301531</v>
      </c>
      <c r="DF150" s="267">
        <f>INDEX($AO$144:$BB$158,MATCH($CW150,$L$144:$L$158,0),MATCH(DF$145,$AO$145:$BB$145,0))/INDEX(고양시_재차인원!$D$4:$H$35,MATCH("고양시",고양시_재차인원!$B$4:$B$35,0),MATCH($DF$144,고양시_재차인원!$D$4:$H$4,0))</f>
        <v>45.446304844181952</v>
      </c>
      <c r="DG150" s="267">
        <f>INDEX($AO$144:$BB$158,MATCH($CW150,$L$144:$L$158,0),MATCH(DG$145,$AO$145:$BB$145,0))/INDEX(고양시_재차인원!$K$4:$O$20,MATCH("경기도",고양시_재차인원!$K$4:$K$20,0),MATCH(DG$145,고양시_재차인원!$K$4:$O$4,0))</f>
        <v>4.3634025990989863E-4</v>
      </c>
      <c r="DH150" s="267">
        <f>INDEX($AO$144:$BB$158,MATCH($CW150,$L$144:$L$158,0),MATCH(DH$145,$AO$145:$BB$145,0))/INDEX(고양시_재차인원!$K$4:$O$20,MATCH("경기도",고양시_재차인원!$K$4:$K$20,0),MATCH(DH$145,고양시_재차인원!$K$4:$O$4,0))</f>
        <v>0.12130259225495184</v>
      </c>
      <c r="DI150" s="267">
        <f>INDEX($AO$144:$BB$158,MATCH($CW150,$L$144:$L$158,0),MATCH(DI$145,$AO$145:$BB$145,0))/INDEX(고양시_재차인원!$D$4:$H$35,MATCH("고양시",고양시_재차인원!$B$4:$B$35,0),MATCH($DF$144,고양시_재차인원!$D$4:$H$4,0))</f>
        <v>2.9183040746210818</v>
      </c>
      <c r="DJ150" s="267">
        <f>INDEX($BC$144:$BP$158,MATCH($CW150,$L$144:$L$158,0),MATCH(DJ$145,$BC$145:$BP$145,0))/INDEX(고양시_재차인원!$D$4:$H$35,MATCH("고양시",고양시_재차인원!$B$4:$B$35,0),MATCH($DJ$144,고양시_재차인원!$D$4:$H$4,0))</f>
        <v>6.8268183562501653E-2</v>
      </c>
      <c r="DK150" s="267">
        <f>INDEX($BC$144:$BP$158,MATCH($CW150,$L$144:$L$158,0),MATCH(DK$145,$BC$145:$BP$145,0))/INDEX(고양시_재차인원!$K$4:$O$20,MATCH("경기도",고양시_재차인원!$K$4:$K$20,0),MATCH(DK$145,고양시_재차인원!$K$4:$O$4,0))</f>
        <v>6.8571020415384682E-7</v>
      </c>
      <c r="DL150" s="267">
        <f>INDEX($BC$144:$BP$158,MATCH($CW150,$L$144:$L$158,0),MATCH(DL$145,$BC$145:$BP$145,0))/INDEX(고양시_재차인원!$K$4:$O$20,MATCH("경기도",고양시_재차인원!$K$4:$K$20,0),MATCH(DL$145,고양시_재차인원!$K$4:$O$4,0))</f>
        <v>1.9062743675476944E-4</v>
      </c>
      <c r="DM150" s="267">
        <f>INDEX($BC$144:$BP$158,MATCH($CW150,$L$144:$L$158,0),MATCH(DM$145,$BC$145:$BP$145,0))/INDEX(고양시_재차인원!$D$4:$H$35,MATCH("고양시",고양시_재차인원!$B$4:$B$35,0),MATCH($DJ$144,고양시_재차인원!$D$4:$H$4,0))</f>
        <v>4.3837957550234953E-3</v>
      </c>
      <c r="DN150" s="267">
        <f>INDEX($BQ$144:$CD$158,MATCH($CW150,$L$144:$L$158,0),MATCH(DN$145,$BQ$145:$CD$145,0))/INDEX(고양시_재차인원!$D$4:$H$35,MATCH("고양시",고양시_재차인원!$B$4:$B$35,0),MATCH($DN$144,고양시_재차인원!$D$4:$H$4,0))</f>
        <v>0.27837044161640984</v>
      </c>
      <c r="DO150" s="267">
        <f>INDEX($BQ$144:$CD$158,MATCH($CW150,$L$144:$L$158,0),MATCH(DO$145,$BQ$145:$CD$145,0))/INDEX(고양시_재차인원!$K$4:$O$20,MATCH("경기도",고양시_재차인원!$K$4:$K$20,0),MATCH(DO$145,고양시_재차인원!$K$4:$O$4,0))</f>
        <v>2.590460771247875E-6</v>
      </c>
      <c r="DP150" s="267">
        <f>INDEX($BQ$144:$CD$158,MATCH($CW150,$L$144:$L$158,0),MATCH(DP$145,$BQ$145:$CD$145,0))/INDEX(고양시_재차인원!$K$4:$O$20,MATCH("경기도",고양시_재차인원!$K$4:$K$20,0),MATCH(DP$145,고양시_재차인원!$K$4:$O$4,0))</f>
        <v>7.2014809440690936E-4</v>
      </c>
      <c r="DQ150" s="267">
        <f>INDEX($BQ$144:$CD$158,MATCH($CW150,$L$144:$L$158,0),MATCH(DQ$145,$BQ$145:$CD$145,0))/INDEX(고양시_재차인원!$D$4:$H$35,MATCH("고양시",고양시_재차인원!$B$4:$B$35,0),MATCH($DN$144,고양시_재차인원!$D$4:$H$4,0))</f>
        <v>1.7875371755933612E-2</v>
      </c>
      <c r="DR150" s="270">
        <f t="shared" si="86"/>
        <v>903.23970742407414</v>
      </c>
      <c r="DS150" s="270">
        <f t="shared" si="77"/>
        <v>9.0966315683049682E-3</v>
      </c>
      <c r="DT150" s="270">
        <f t="shared" si="78"/>
        <v>2.528863575988781</v>
      </c>
      <c r="DU150" s="270">
        <f t="shared" si="79"/>
        <v>58.000933795889942</v>
      </c>
      <c r="DW150" s="278"/>
      <c r="DX150" s="278" t="s">
        <v>674</v>
      </c>
      <c r="DY150" s="281">
        <f t="shared" si="87"/>
        <v>961.24064121996412</v>
      </c>
      <c r="DZ150" s="281">
        <f t="shared" si="88"/>
        <v>2.5379602075570857</v>
      </c>
      <c r="EB150" s="278"/>
      <c r="EC150" s="278" t="s">
        <v>674</v>
      </c>
      <c r="ED150" s="281">
        <f t="shared" si="89"/>
        <v>961.24064121996412</v>
      </c>
      <c r="EE150" s="281">
        <f t="shared" si="80"/>
        <v>2.5379602075570857</v>
      </c>
      <c r="EL150" s="306" t="s">
        <v>12</v>
      </c>
      <c r="EM150" s="306" t="s">
        <v>361</v>
      </c>
      <c r="EN150" s="306">
        <v>8261.5616000000009</v>
      </c>
      <c r="EO150" s="306">
        <v>0.12335288692322853</v>
      </c>
      <c r="EP150" s="307">
        <v>849105</v>
      </c>
      <c r="EQ150" s="308">
        <f t="shared" si="90"/>
        <v>25.737639474342799</v>
      </c>
      <c r="ER150" s="308">
        <f t="shared" si="91"/>
        <v>6.7954996929207909E-2</v>
      </c>
      <c r="ET150" s="420" t="s">
        <v>12</v>
      </c>
      <c r="EU150" s="420" t="s">
        <v>361</v>
      </c>
      <c r="EV150" s="420">
        <v>8261.5616000000009</v>
      </c>
      <c r="EW150" s="420">
        <v>0.12335288692322853</v>
      </c>
      <c r="EX150" s="421">
        <v>849105</v>
      </c>
      <c r="EY150" s="422">
        <f t="shared" si="92"/>
        <v>25.00411674932403</v>
      </c>
      <c r="EZ150" s="422">
        <f t="shared" si="81"/>
        <v>6.6018279516725481E-2</v>
      </c>
      <c r="FA150">
        <v>0</v>
      </c>
      <c r="FD150" s="306" t="s">
        <v>12</v>
      </c>
      <c r="FE150" s="306" t="s">
        <v>361</v>
      </c>
      <c r="FF150" s="306">
        <v>8261.5616000000009</v>
      </c>
      <c r="FG150" s="306">
        <v>0.12335288692322853</v>
      </c>
      <c r="FH150" s="307">
        <v>849105</v>
      </c>
      <c r="FI150" s="308">
        <f t="shared" si="82"/>
        <v>25.00411674932403</v>
      </c>
      <c r="FJ150" s="308">
        <f t="shared" si="83"/>
        <v>6.6018279516725481E-2</v>
      </c>
      <c r="FL150" s="101"/>
      <c r="FM150" s="101"/>
      <c r="FN150" s="101"/>
      <c r="FO150" s="101"/>
      <c r="FP150" s="374"/>
      <c r="FQ150" s="404"/>
      <c r="FR150" s="404"/>
    </row>
    <row r="151" spans="1:174" ht="25">
      <c r="A151" s="205"/>
      <c r="B151" s="205" t="s">
        <v>13</v>
      </c>
      <c r="C151" s="400">
        <f>$AB66*KTDB_TripDistribution_2025!T$12 * (1+KTDB_발생량도착량_증가율!$C$7*2)</f>
        <v>100.98084693593964</v>
      </c>
      <c r="D151" s="400">
        <f>$AB66*KTDB_TripDistribution_2025!U$12 * (1+KTDB_발생량도착량_증가율!$C$7*2)</f>
        <v>730.81904810895071</v>
      </c>
      <c r="E151" s="400">
        <f>$AB66*KTDB_TripDistribution_2025!V$12 * (1+KTDB_발생량도착량_증가율!$C$7*2)</f>
        <v>41.925279860963151</v>
      </c>
      <c r="F151" s="400">
        <f>$AB66*KTDB_TripDistribution_2025!W$12 * (1+KTDB_발생량도착량_증가율!$C$7*2)</f>
        <v>6.5885720053896923E-2</v>
      </c>
      <c r="G151" s="400">
        <f>$AB66*KTDB_TripDistribution_2025!X$12 * (1+KTDB_발생량도착량_증가율!$C$7*2)</f>
        <v>0.24890160909250042</v>
      </c>
      <c r="H151" s="400">
        <f>$AB66*KTDB_TripDistribution_2025!Y$12 * (1+KTDB_발생량도착량_증가율!$C$7*2)</f>
        <v>874.03996223500019</v>
      </c>
      <c r="K151" s="206"/>
      <c r="L151" s="206" t="s">
        <v>13</v>
      </c>
      <c r="M151" s="206">
        <f>INDEX($A$145:$H$158,MATCH($L151,$B$145:$B$158,0),MATCH($M$144,$A$145:$H$145,0))*고양시_Modal_split!C$3 * 0.01</f>
        <v>0.28274637142063097</v>
      </c>
      <c r="N151" s="206">
        <f>INDEX($A$145:$H$158,MATCH($L151,$B$145:$B$158,0),MATCH($M$144,$A$145:$H$145,0))*고양시_Modal_split!D$3 * 0.01</f>
        <v>47.491292313972416</v>
      </c>
      <c r="O151" s="206">
        <f>INDEX($A$145:$H$158,MATCH($L151,$B$145:$B$158,0),MATCH($M$144,$A$145:$H$145,0))*고양시_Modal_split!E$3 * 0.01</f>
        <v>5.7458101906549652</v>
      </c>
      <c r="P151" s="206">
        <f>INDEX($A$145:$H$158,MATCH($L151,$B$145:$B$158,0),MATCH($M$144,$A$145:$H$145,0))*고양시_Modal_split!F$3 * 0.01</f>
        <v>9.2599436640256645</v>
      </c>
      <c r="Q151" s="206">
        <f>INDEX($A$145:$H$158,MATCH($L151,$B$145:$B$158,0),MATCH($M$144,$A$145:$H$145,0))*고양시_Modal_split!G$3 * 0.01</f>
        <v>0.92902379181064465</v>
      </c>
      <c r="R151" s="206">
        <f>INDEX($A$145:$H$158,MATCH($L151,$B$145:$B$158,0),MATCH($M$144,$A$145:$H$145,0))*고양시_Modal_split!H$3 * 0.01</f>
        <v>1.0098084693593965E-2</v>
      </c>
      <c r="S151" s="206">
        <f>INDEX($A$145:$H$158,MATCH($L151,$B$145:$B$158,0),MATCH($M$144,$A$145:$H$145,0))*고양시_Modal_split!I$3 * 0.01</f>
        <v>2.8072675448191218</v>
      </c>
      <c r="T151" s="206">
        <f>INDEX($A$145:$H$158,MATCH($L151,$B$145:$B$158,0),MATCH($M$144,$A$145:$H$145,0))*고양시_Modal_split!J$3 * 0.01</f>
        <v>30.738569807300028</v>
      </c>
      <c r="U151" s="206">
        <f>INDEX($A$145:$H$158,MATCH($L151,$B$145:$B$158,0),MATCH($M$144,$A$145:$H$145,0))*고양시_Modal_split!K$3 * 0.01</f>
        <v>0.15147127040390945</v>
      </c>
      <c r="V151" s="206">
        <f>INDEX($A$145:$H$158,MATCH($L151,$B$145:$B$158,0),MATCH($M$144,$A$145:$H$145,0))*고양시_Modal_split!L$3 * 0.01</f>
        <v>3.049621577465377</v>
      </c>
      <c r="W151" s="206">
        <f>INDEX($A$145:$H$158,MATCH($L151,$B$145:$B$158,0),MATCH($M$144,$A$145:$H$145,0))*고양시_Modal_split!M$3 * 0.01</f>
        <v>0.23225594795266116</v>
      </c>
      <c r="X151" s="206">
        <f>INDEX($A$145:$H$158,MATCH($L151,$B$145:$B$158,0),MATCH($M$144,$A$145:$H$145,0))*고양시_Modal_split!N$3 * 0.01</f>
        <v>0.10098084693593964</v>
      </c>
      <c r="Y151" s="206">
        <f>INDEX($A$145:$H$158,MATCH($L151,$B$145:$B$158,0),MATCH($M$144,$A$145:$H$145,0))*고양시_Modal_split!O$3 * 0.01</f>
        <v>0.18176552448469135</v>
      </c>
      <c r="Z151" s="209">
        <f>INDEX($A$145:$H$158,MATCH($L151,$B$145:$B$158,0),MATCH($M$144,$A$145:$H$145,0))*고양시_Modal_split!P$3 * 0.01</f>
        <v>100.98084693593965</v>
      </c>
      <c r="AA151" s="207">
        <f>INDEX($A$145:$H$158,MATCH($L151,$B$145:$B$158,0),MATCH($AA$144,$A$145:$H$145,0))*고양시_Modal_split!C$3 * 0.01</f>
        <v>2.0462933347050618</v>
      </c>
      <c r="AB151" s="207">
        <f>INDEX($A$145:$H$158,MATCH($L151,$B$145:$B$158,0),MATCH($AA$144,$A$145:$H$145,0))*고양시_Modal_split!D$3 * 0.01</f>
        <v>343.70419832563954</v>
      </c>
      <c r="AC151" s="207">
        <f>INDEX($A$145:$H$158,MATCH($L151,$B$145:$B$158,0),MATCH($AA$144,$A$145:$H$145,0))*고양시_Modal_split!E$3 * 0.01</f>
        <v>41.583603837399295</v>
      </c>
      <c r="AD151" s="207">
        <f>INDEX($A$145:$H$158,MATCH($L151,$B$145:$B$158,0),MATCH($AA$144,$A$145:$H$145,0))*고양시_Modal_split!F$3 * 0.01</f>
        <v>67.01610671159078</v>
      </c>
      <c r="AE151" s="207">
        <f>INDEX($A$145:$H$158,MATCH($L151,$B$145:$B$158,0),MATCH($AA$144,$A$145:$H$145,0))*고양시_Modal_split!G$3 * 0.01</f>
        <v>6.7235352426023463</v>
      </c>
      <c r="AF151" s="207">
        <f>INDEX($A$145:$H$158,MATCH($L151,$B$145:$B$158,0),MATCH($AA$144,$A$145:$H$145,0))*고양시_Modal_split!H$3 * 0.01</f>
        <v>7.3081904810895076E-2</v>
      </c>
      <c r="AG151" s="207">
        <f>INDEX($A$145:$H$158,MATCH($L151,$B$145:$B$158,0),MATCH($AA$144,$A$145:$H$145,0))*고양시_Modal_split!I$3 * 0.01</f>
        <v>20.316769537428829</v>
      </c>
      <c r="AH151" s="207">
        <f>INDEX($A$145:$H$158,MATCH($L151,$B$145:$B$158,0),MATCH($AA$144,$A$145:$H$145,0))*고양시_Modal_split!J$3 * 0.01</f>
        <v>222.46131824436461</v>
      </c>
      <c r="AI151" s="207">
        <f>INDEX($A$145:$H$158,MATCH($L151,$B$145:$B$158,0),MATCH($AA$144,$A$145:$H$145,0))*고양시_Modal_split!K$3 * 0.01</f>
        <v>1.0962285721634262</v>
      </c>
      <c r="AJ151" s="207">
        <f>INDEX($A$145:$H$158,MATCH($L151,$B$145:$B$158,0),MATCH($AA$144,$A$145:$H$145,0))*고양시_Modal_split!L$3 * 0.01</f>
        <v>22.070735252890312</v>
      </c>
      <c r="AK151" s="207">
        <f>INDEX($A$145:$H$158,MATCH($L151,$B$145:$B$158,0),MATCH($AA$144,$A$145:$H$145,0))*고양시_Modal_split!M$3 * 0.01</f>
        <v>1.6808838106505866</v>
      </c>
      <c r="AL151" s="207">
        <f>INDEX($A$145:$H$158,MATCH($L151,$B$145:$B$158,0),MATCH($AA$144,$A$145:$H$145,0))*고양시_Modal_split!N$3 * 0.01</f>
        <v>0.73081904810895071</v>
      </c>
      <c r="AM151" s="207">
        <f>INDEX($A$145:$H$158,MATCH($L151,$B$145:$B$158,0),MATCH($AA$144,$A$145:$H$145,0))*고양시_Modal_split!O$3 * 0.01</f>
        <v>1.3154742865961111</v>
      </c>
      <c r="AN151" s="207">
        <f>INDEX($A$145:$H$158,MATCH($L151,$B$145:$B$158,0),MATCH($AA$144,$A$145:$H$145,0))*고양시_Modal_split!P$3 * 0.01</f>
        <v>730.81904810895071</v>
      </c>
      <c r="AO151" s="303">
        <f>INDEX($A$145:$H$158,MATCH($L151,$B$145:$B$158,0),MATCH($AO$144,$A$145:$H$145,0))*고양시_Modal_split!C$3 * 0.01</f>
        <v>0.11739078361069682</v>
      </c>
      <c r="AP151" s="303">
        <f>INDEX($A$145:$H$158,MATCH($L151,$B$145:$B$158,0),MATCH($AO$144,$A$145:$H$145,0))*고양시_Modal_split!D$3 * 0.01</f>
        <v>19.717459118610972</v>
      </c>
      <c r="AQ151" s="303">
        <f>INDEX($A$145:$H$158,MATCH($L151,$B$145:$B$158,0),MATCH($AO$144,$A$145:$H$145,0))*고양시_Modal_split!E$3 * 0.01</f>
        <v>2.3855484240888032</v>
      </c>
      <c r="AR151" s="303">
        <f>INDEX($A$145:$H$158,MATCH($L151,$B$145:$B$158,0),MATCH($AO$144,$A$145:$H$145,0))*고양시_Modal_split!F$3 * 0.01</f>
        <v>3.8445481632503209</v>
      </c>
      <c r="AS151" s="303">
        <f>INDEX($A$145:$H$158,MATCH($L151,$B$145:$B$158,0),MATCH($AO$144,$A$145:$H$145,0))*고양시_Modal_split!G$3 * 0.01</f>
        <v>0.38571257472086096</v>
      </c>
      <c r="AT151" s="303">
        <f>INDEX($A$145:$H$158,MATCH($L151,$B$145:$B$158,0),MATCH($AO$144,$A$145:$H$145,0))*고양시_Modal_split!H$3 * 0.01</f>
        <v>4.1925279860963154E-3</v>
      </c>
      <c r="AU151" s="303">
        <f>INDEX($A$145:$H$158,MATCH($L151,$B$145:$B$158,0),MATCH($AO$144,$A$145:$H$145,0))*고양시_Modal_split!I$3 * 0.01</f>
        <v>1.1655227801347754</v>
      </c>
      <c r="AV151" s="303">
        <f>INDEX($A$145:$H$158,MATCH($L151,$B$145:$B$158,0),MATCH($AO$144,$A$145:$H$145,0))*고양시_Modal_split!J$3 * 0.01</f>
        <v>12.762055189677183</v>
      </c>
      <c r="AW151" s="303">
        <f>INDEX($A$145:$H$158,MATCH($L151,$B$145:$B$158,0),MATCH($AO$144,$A$145:$H$145,0))*고양시_Modal_split!K$3 * 0.01</f>
        <v>6.288791979144473E-2</v>
      </c>
      <c r="AX151" s="303">
        <f>INDEX($A$145:$H$158,MATCH($L151,$B$145:$B$158,0),MATCH($AO$144,$A$145:$H$145,0))*고양시_Modal_split!L$3 * 0.01</f>
        <v>1.2661434518010872</v>
      </c>
      <c r="AY151" s="303">
        <f>INDEX($A$145:$H$158,MATCH($L151,$B$145:$B$158,0),MATCH($AO$144,$A$145:$H$145,0))*고양시_Modal_split!M$3 * 0.01</f>
        <v>9.6428143680215239E-2</v>
      </c>
      <c r="AZ151" s="303">
        <f>INDEX($A$145:$H$158,MATCH($L151,$B$145:$B$158,0),MATCH($AO$144,$A$145:$H$145,0))*고양시_Modal_split!N$3 * 0.01</f>
        <v>4.1925279860963151E-2</v>
      </c>
      <c r="BA151" s="207">
        <f>INDEX($A$145:$H$158,MATCH($L151,$B$145:$B$158,0),MATCH($AO$144,$A$145:$H$145,0))*고양시_Modal_split!O$3 * 0.01</f>
        <v>7.5465503749733667E-2</v>
      </c>
      <c r="BB151" s="207">
        <f>INDEX($A$145:$H$158,MATCH($L151,$B$145:$B$158,0),MATCH($AO$144,$A$145:$H$145,0))*고양시_Modal_split!P$3 * 0.01</f>
        <v>41.925279860963158</v>
      </c>
      <c r="BC151" s="207">
        <f>INDEX($A$145:$H$158,MATCH($L151,$B$145:$B$158,0),MATCH($BC$144,$A$145:$H$145,0))*고양시_Modal_split!C$3 * 0.01</f>
        <v>1.8448001615091136E-4</v>
      </c>
      <c r="BD151" s="207">
        <f>INDEX($A$145:$H$158,MATCH($L151,$B$145:$B$158,0),MATCH($BC$144,$A$145:$H$145,0))*고양시_Modal_split!D$3 * 0.01</f>
        <v>3.0986054141347724E-2</v>
      </c>
      <c r="BE151" s="207">
        <f>INDEX($A$145:$H$158,MATCH($L151,$B$145:$B$158,0),MATCH($BC$144,$A$145:$H$145,0))*고양시_Modal_split!E$3 * 0.01</f>
        <v>3.7488974710667344E-3</v>
      </c>
      <c r="BF151" s="207">
        <f>INDEX($A$145:$H$158,MATCH($L151,$B$145:$B$158,0),MATCH($BC$144,$A$145:$H$145,0))*고양시_Modal_split!F$3 * 0.01</f>
        <v>6.0417205289423487E-3</v>
      </c>
      <c r="BG151" s="207">
        <f>INDEX($A$145:$H$158,MATCH($L151,$B$145:$B$158,0),MATCH($BC$144,$A$145:$H$145,0))*고양시_Modal_split!G$3 * 0.01</f>
        <v>6.0614862449585166E-4</v>
      </c>
      <c r="BH151" s="207">
        <f>INDEX($A$145:$H$158,MATCH($L151,$B$145:$B$158,0),MATCH($BC$144,$A$145:$H$145,0))*고양시_Modal_split!H$3 * 0.01</f>
        <v>6.5885720053896926E-6</v>
      </c>
      <c r="BI151" s="207">
        <f>INDEX($A$145:$H$158,MATCH($L151,$B$145:$B$158,0),MATCH($BC$144,$A$145:$H$145,0))*고양시_Modal_split!I$3 * 0.01</f>
        <v>1.8316230174983345E-3</v>
      </c>
      <c r="BJ151" s="207">
        <f>INDEX($A$145:$H$158,MATCH($L151,$B$145:$B$158,0),MATCH($BC$144,$A$145:$H$145,0))*고양시_Modal_split!J$3 * 0.01</f>
        <v>2.0055613184406226E-2</v>
      </c>
      <c r="BK151" s="207">
        <f>INDEX($A$145:$H$158,MATCH($L151,$B$145:$B$158,0),MATCH($BC$144,$A$145:$H$145,0))*고양시_Modal_split!K$3 * 0.01</f>
        <v>9.8828580080845374E-5</v>
      </c>
      <c r="BL151" s="207">
        <f>INDEX($A$145:$H$158,MATCH($L151,$B$145:$B$158,0),MATCH($BC$144,$A$145:$H$145,0))*고양시_Modal_split!L$3 * 0.01</f>
        <v>1.9897487456276871E-3</v>
      </c>
      <c r="BM151" s="207">
        <f>INDEX($A$145:$H$158,MATCH($L151,$B$145:$B$158,0),MATCH($BC$144,$A$145:$H$145,0))*고양시_Modal_split!M$3 * 0.01</f>
        <v>1.5153715612396292E-4</v>
      </c>
      <c r="BN151" s="207">
        <f>INDEX($A$145:$H$158,MATCH($L151,$B$145:$B$158,0),MATCH($BC$144,$A$145:$H$145,0))*고양시_Modal_split!N$3 * 0.01</f>
        <v>6.588572005389693E-5</v>
      </c>
      <c r="BO151" s="207">
        <f>INDEX($A$145:$H$158,MATCH($L151,$B$145:$B$158,0),MATCH($BC$144,$A$145:$H$145,0))*고양시_Modal_split!O$3 * 0.01</f>
        <v>1.1859429609701446E-4</v>
      </c>
      <c r="BP151" s="207">
        <f>INDEX($A$145:$H$158,MATCH($L151,$B$145:$B$158,0),MATCH($BC$144,$A$145:$H$145,0))*고양시_Modal_split!P$3 * 0.01</f>
        <v>6.5885720053896923E-2</v>
      </c>
      <c r="BQ151" s="207">
        <f>INDEX($A$145:$H$158,MATCH($L151,$B$145:$B$158,0),MATCH($BQ$144,$A$145:$H$145,0))*고양시_Modal_split!C$3 * 0.01</f>
        <v>6.9692450545900107E-4</v>
      </c>
      <c r="BR151" s="207">
        <f>INDEX($A$145:$H$158,MATCH($L151,$B$145:$B$158,0),MATCH($BQ$144,$A$145:$H$145,0))*고양시_Modal_split!D$3 * 0.01</f>
        <v>0.11705842675620294</v>
      </c>
      <c r="BS151" s="207">
        <f>INDEX($A$145:$H$158,MATCH($L151,$B$145:$B$158,0),MATCH($BQ$144,$A$145:$H$145,0))*고양시_Modal_split!E$3 * 0.01</f>
        <v>1.4162501557363273E-2</v>
      </c>
      <c r="BT151" s="207">
        <f>INDEX($A$145:$H$158,MATCH($L151,$B$145:$B$158,0),MATCH($BQ$144,$A$145:$H$145,0))*고양시_Modal_split!F$3 * 0.01</f>
        <v>2.2824277553782288E-2</v>
      </c>
      <c r="BU151" s="207">
        <f>INDEX($A$145:$H$158,MATCH($L151,$B$145:$B$158,0),MATCH($BQ$144,$A$145:$H$145,0))*고양시_Modal_split!G$3 * 0.01</f>
        <v>2.2898948036510036E-3</v>
      </c>
      <c r="BV151" s="207">
        <f>INDEX($A$145:$H$158,MATCH($L151,$B$145:$B$158,0),MATCH($BQ$144,$A$145:$H$145,0))*고양시_Modal_split!H$3 * 0.01</f>
        <v>2.4890160909250043E-5</v>
      </c>
      <c r="BW151" s="207">
        <f>INDEX($A$145:$H$158,MATCH($L151,$B$145:$B$158,0),MATCH($BQ$144,$A$145:$H$145,0))*고양시_Modal_split!I$3 * 0.01</f>
        <v>6.9194647327715112E-3</v>
      </c>
      <c r="BX151" s="207">
        <f>INDEX($A$145:$H$158,MATCH($L151,$B$145:$B$158,0),MATCH($BQ$144,$A$145:$H$145,0))*고양시_Modal_split!J$3 * 0.01</f>
        <v>7.5765649807757129E-2</v>
      </c>
      <c r="BY151" s="207">
        <f>INDEX($A$145:$H$158,MATCH($L151,$B$145:$B$158,0),MATCH($BQ$144,$A$145:$H$145,0))*고양시_Modal_split!K$3 * 0.01</f>
        <v>3.7335241363875061E-4</v>
      </c>
      <c r="BZ151" s="207">
        <f>INDEX($A$145:$H$158,MATCH($L151,$B$145:$B$158,0),MATCH($BQ$144,$A$145:$H$145,0))*고양시_Modal_split!L$3 * 0.01</f>
        <v>7.516828594593513E-3</v>
      </c>
      <c r="CA151" s="207">
        <f>INDEX($A$145:$H$158,MATCH($L151,$B$145:$B$158,0),MATCH($BQ$144,$A$145:$H$145,0))*고양시_Modal_split!M$3 * 0.01</f>
        <v>5.724737009127509E-4</v>
      </c>
      <c r="CB151" s="207">
        <f>INDEX($A$145:$H$158,MATCH($L151,$B$145:$B$158,0),MATCH($BQ$144,$A$145:$H$145,0))*고양시_Modal_split!N$3 * 0.01</f>
        <v>2.4890160909250044E-4</v>
      </c>
      <c r="CC151" s="207">
        <f>INDEX($A$145:$H$158,MATCH($L151,$B$145:$B$158,0),MATCH($BQ$144,$A$145:$H$145,0))*고양시_Modal_split!O$3 * 0.01</f>
        <v>4.4802289636650073E-4</v>
      </c>
      <c r="CD151" s="207">
        <f>INDEX($A$145:$H$158,MATCH($L151,$B$145:$B$158,0),MATCH($BQ$144,$A$145:$H$145,0))*고양시_Modal_split!P$3 * 0.01</f>
        <v>0.24890160909250042</v>
      </c>
      <c r="CE151" s="304">
        <f t="shared" si="84"/>
        <v>2.4473118942579992</v>
      </c>
      <c r="CF151" s="304">
        <f t="shared" si="64"/>
        <v>411.06099423912048</v>
      </c>
      <c r="CG151" s="304">
        <f t="shared" si="65"/>
        <v>49.732873851171497</v>
      </c>
      <c r="CH151" s="304">
        <f t="shared" si="66"/>
        <v>80.149464536949495</v>
      </c>
      <c r="CI151" s="304">
        <f t="shared" si="67"/>
        <v>8.0411676525619971</v>
      </c>
      <c r="CJ151" s="304">
        <f t="shared" si="68"/>
        <v>8.7403996223499994E-2</v>
      </c>
      <c r="CK151" s="304">
        <f t="shared" si="69"/>
        <v>24.298310950132997</v>
      </c>
      <c r="CL151" s="304">
        <f t="shared" si="70"/>
        <v>266.05776450433399</v>
      </c>
      <c r="CM151" s="304">
        <f t="shared" si="71"/>
        <v>1.3110599433524999</v>
      </c>
      <c r="CN151" s="304">
        <f t="shared" si="72"/>
        <v>26.396006859497</v>
      </c>
      <c r="CO151" s="304">
        <f t="shared" si="73"/>
        <v>2.0102919131404993</v>
      </c>
      <c r="CP151" s="304">
        <f t="shared" si="74"/>
        <v>0.87403996223500002</v>
      </c>
      <c r="CQ151" s="304">
        <f t="shared" si="75"/>
        <v>1.5732719320229998</v>
      </c>
      <c r="CR151" s="304">
        <f t="shared" si="76"/>
        <v>874.03996223499996</v>
      </c>
      <c r="CS151" s="305">
        <f t="shared" si="85"/>
        <v>0</v>
      </c>
      <c r="CV151" s="267"/>
      <c r="CW151" s="267" t="s">
        <v>13</v>
      </c>
      <c r="CX151" s="267">
        <f>INDEX($M$144:$Z$158,MATCH($CW151,$L$144:$L$158,0),MATCH(CX$145,$M$145:$Z$145,0))/INDEX(고양시_재차인원!$D$4:$H$35,MATCH("고양시",고양시_재차인원!$B$4:$B$35,0),MATCH($CX$144,고양시_재차인원!$D$4:$H$4,0))</f>
        <v>42.402939566046797</v>
      </c>
      <c r="CY151" s="267">
        <f>INDEX($M$144:$Z$158,MATCH($CW151,$L$144:$L$158,0),MATCH(CY$145,$M$145:$Z$145,0))/INDEX(고양시_재차인원!$K$4:$O$20,MATCH("경기도",고양시_재차인원!$K$4:$K$20,0),MATCH(CY$145,고양시_재차인원!$K$4:$O$4,0))</f>
        <v>3.5074972885008567E-4</v>
      </c>
      <c r="CZ151" s="267">
        <f>INDEX($M$144:$Z$158,MATCH($CW151,$L$144:$L$158,0),MATCH(CZ$145,$M$145:$Z$145,0))/INDEX(고양시_재차인원!$K$4:$O$20,MATCH("경기도",고양시_재차인원!$K$4:$K$20,0),MATCH(CZ$145,고양시_재차인원!$K$4:$O$4,0))</f>
        <v>9.7508424620323789E-2</v>
      </c>
      <c r="DA151" s="267">
        <f>INDEX($M$144:$Z$158,MATCH($CW151,$L$144:$L$158,0),MATCH(DA$145,$M$145:$Z$145,0))/INDEX(고양시_재차인원!$D$4:$H$35,MATCH("고양시",고양시_재차인원!$B$4:$B$35,0),MATCH($CX$144,고양시_재차인원!$D$4:$H$4,0))</f>
        <v>2.7228764084512291</v>
      </c>
      <c r="DB151" s="267">
        <f>INDEX($AA$144:$AN$158,MATCH($CW151,$L$144:$L$158,0),MATCH(DB$145,$AA$145:$AN$145,0))/INDEX(고양시_재차인원!$D$4:$H$35,MATCH("고양시",고양시_재차인원!$B$4:$B$35,0),MATCH($DB$144,고양시_재차인원!$D$4:$H$4,0))</f>
        <v>243.76184278414152</v>
      </c>
      <c r="DC151" s="267">
        <f>INDEX($AA$144:$AN$158,MATCH($CW151,$L$144:$L$158,0),MATCH(DC$145,$AA$145:$AN$145,0))/INDEX(고양시_재차인원!$K$4:$O$20,MATCH("경기도",고양시_재차인원!$K$4:$K$20,0),MATCH(DC$145,고양시_재차인원!$K$4:$O$4,0))</f>
        <v>2.5384475446646433E-3</v>
      </c>
      <c r="DD151" s="267">
        <f>INDEX($AA$144:$AN$158,MATCH($CW151,$L$144:$L$158,0),MATCH(DD$145,$AA$145:$AN$145,0))/INDEX(고양시_재차인원!$K$4:$O$20,MATCH("경기도",고양시_재차인원!$K$4:$K$20,0),MATCH(DD$145,고양시_재차인원!$K$4:$O$4,0))</f>
        <v>0.7056884174167708</v>
      </c>
      <c r="DE151" s="267">
        <f>INDEX($AA$144:$AN$158,MATCH($CW151,$L$144:$L$158,0),MATCH(DE$145,$AA$145:$AN$145,0))/INDEX(고양시_재차인원!$D$4:$H$35,MATCH("고양시",고양시_재차인원!$B$4:$B$35,0),MATCH($DB$144,고양시_재차인원!$D$4:$H$4,0))</f>
        <v>15.653003725454123</v>
      </c>
      <c r="DF151" s="267">
        <f>INDEX($AO$144:$BB$158,MATCH($CW151,$L$144:$L$158,0),MATCH(DF$145,$AO$145:$BB$145,0))/INDEX(고양시_재차인원!$D$4:$H$35,MATCH("고양시",고양시_재차인원!$B$4:$B$35,0),MATCH($DF$144,고양시_재차인원!$D$4:$H$4,0))</f>
        <v>15.167276245085363</v>
      </c>
      <c r="DG151" s="267">
        <f>INDEX($AO$144:$BB$158,MATCH($CW151,$L$144:$L$158,0),MATCH(DG$145,$AO$145:$BB$145,0))/INDEX(고양시_재차인원!$K$4:$O$20,MATCH("경기도",고양시_재차인원!$K$4:$K$20,0),MATCH(DG$145,고양시_재차인원!$K$4:$O$4,0))</f>
        <v>1.4562445245211238E-4</v>
      </c>
      <c r="DH151" s="267">
        <f>INDEX($AO$144:$BB$158,MATCH($CW151,$L$144:$L$158,0),MATCH(DH$145,$AO$145:$BB$145,0))/INDEX(고양시_재차인원!$K$4:$O$20,MATCH("경기도",고양시_재차인원!$K$4:$K$20,0),MATCH(DH$145,고양시_재차인원!$K$4:$O$4,0))</f>
        <v>4.0483597781687232E-2</v>
      </c>
      <c r="DI151" s="267">
        <f>INDEX($AO$144:$BB$158,MATCH($CW151,$L$144:$L$158,0),MATCH(DI$145,$AO$145:$BB$145,0))/INDEX(고양시_재차인원!$D$4:$H$35,MATCH("고양시",고양시_재차인원!$B$4:$B$35,0),MATCH($DF$144,고양시_재차인원!$D$4:$H$4,0))</f>
        <v>0.97395650138545165</v>
      </c>
      <c r="DJ151" s="267">
        <f>INDEX($BC$144:$BP$158,MATCH($CW151,$L$144:$L$158,0),MATCH(DJ$145,$BC$145:$BP$145,0))/INDEX(고양시_재차인원!$D$4:$H$35,MATCH("고양시",고양시_재차인원!$B$4:$B$35,0),MATCH($DJ$144,고양시_재차인원!$D$4:$H$4,0))</f>
        <v>2.2783863339226267E-2</v>
      </c>
      <c r="DK151" s="267">
        <f>INDEX($BC$144:$BP$158,MATCH($CW151,$L$144:$L$158,0),MATCH(DK$145,$BC$145:$BP$145,0))/INDEX(고양시_재차인원!$K$4:$O$20,MATCH("경기도",고양시_재차인원!$K$4:$K$20,0),MATCH(DK$145,고양시_재차인원!$K$4:$O$4,0))</f>
        <v>2.2884932286869374E-7</v>
      </c>
      <c r="DL151" s="267">
        <f>INDEX($BC$144:$BP$158,MATCH($CW151,$L$144:$L$158,0),MATCH(DL$145,$BC$145:$BP$145,0))/INDEX(고양시_재차인원!$K$4:$O$20,MATCH("경기도",고양시_재차인원!$K$4:$K$20,0),MATCH(DL$145,고양시_재차인원!$K$4:$O$4,0))</f>
        <v>6.3620111757496856E-5</v>
      </c>
      <c r="DM151" s="267">
        <f>INDEX($BC$144:$BP$158,MATCH($CW151,$L$144:$L$158,0),MATCH(DM$145,$BC$145:$BP$145,0))/INDEX(고양시_재차인원!$D$4:$H$35,MATCH("고양시",고양시_재차인원!$B$4:$B$35,0),MATCH($DJ$144,고양시_재차인원!$D$4:$H$4,0))</f>
        <v>1.4630505482556523E-3</v>
      </c>
      <c r="DN151" s="267">
        <f>INDEX($BQ$144:$CD$158,MATCH($CW151,$L$144:$L$158,0),MATCH(DN$145,$BQ$145:$CD$145,0))/INDEX(고양시_재차인원!$D$4:$H$35,MATCH("고양시",고양시_재차인원!$B$4:$B$35,0),MATCH($DN$144,고양시_재차인원!$D$4:$H$4,0))</f>
        <v>9.2903513298573756E-2</v>
      </c>
      <c r="DO151" s="267">
        <f>INDEX($BQ$144:$CD$158,MATCH($CW151,$L$144:$L$158,0),MATCH(DO$145,$BQ$145:$CD$145,0))/INDEX(고양시_재차인원!$K$4:$O$20,MATCH("경기도",고양시_재차인원!$K$4:$K$20,0),MATCH(DO$145,고양시_재차인원!$K$4:$O$4,0))</f>
        <v>8.6454188639284631E-7</v>
      </c>
      <c r="DP151" s="267">
        <f>INDEX($BQ$144:$CD$158,MATCH($CW151,$L$144:$L$158,0),MATCH(DP$145,$BQ$145:$CD$145,0))/INDEX(고양시_재차인원!$K$4:$O$20,MATCH("경기도",고양시_재차인원!$K$4:$K$20,0),MATCH(DP$145,고양시_재차인원!$K$4:$O$4,0))</f>
        <v>2.4034264441721124E-4</v>
      </c>
      <c r="DQ151" s="267">
        <f>INDEX($BQ$144:$CD$158,MATCH($CW151,$L$144:$L$158,0),MATCH(DQ$145,$BQ$145:$CD$145,0))/INDEX(고양시_재차인원!$D$4:$H$35,MATCH("고양시",고양시_재차인원!$B$4:$B$35,0),MATCH($DN$144,고양시_재차인원!$D$4:$H$4,0))</f>
        <v>5.9657369798361212E-3</v>
      </c>
      <c r="DR151" s="270">
        <f t="shared" si="86"/>
        <v>301.44774597191144</v>
      </c>
      <c r="DS151" s="270">
        <f t="shared" si="77"/>
        <v>3.0359151171761027E-3</v>
      </c>
      <c r="DT151" s="270">
        <f t="shared" si="78"/>
        <v>0.84398440257495655</v>
      </c>
      <c r="DU151" s="270">
        <f t="shared" si="79"/>
        <v>19.357265422818895</v>
      </c>
      <c r="DW151" s="278"/>
      <c r="DX151" s="278" t="s">
        <v>13</v>
      </c>
      <c r="DY151" s="281">
        <f t="shared" si="87"/>
        <v>320.80501139473034</v>
      </c>
      <c r="DZ151" s="281">
        <f t="shared" si="88"/>
        <v>0.84702031769213271</v>
      </c>
      <c r="EB151" s="278"/>
      <c r="EC151" s="278" t="s">
        <v>13</v>
      </c>
      <c r="ED151" s="281">
        <f t="shared" si="89"/>
        <v>320.80501139473034</v>
      </c>
      <c r="EE151" s="281">
        <f t="shared" si="80"/>
        <v>0.84702031769213271</v>
      </c>
      <c r="EL151" s="306" t="s">
        <v>12</v>
      </c>
      <c r="EM151" s="306" t="s">
        <v>362</v>
      </c>
      <c r="EN151" s="306">
        <v>22890.217400000001</v>
      </c>
      <c r="EO151" s="306">
        <v>0.3417724802282317</v>
      </c>
      <c r="EP151" s="307">
        <v>849106</v>
      </c>
      <c r="EQ151" s="308">
        <f t="shared" si="90"/>
        <v>71.310993182030913</v>
      </c>
      <c r="ER151" s="308">
        <f t="shared" si="91"/>
        <v>0.18828215880226584</v>
      </c>
      <c r="ET151" s="420" t="s">
        <v>12</v>
      </c>
      <c r="EU151" s="420" t="s">
        <v>362</v>
      </c>
      <c r="EV151" s="420">
        <v>22890.217400000001</v>
      </c>
      <c r="EW151" s="420">
        <v>0.3417724802282317</v>
      </c>
      <c r="EX151" s="421">
        <v>849106</v>
      </c>
      <c r="EY151" s="422">
        <f t="shared" si="92"/>
        <v>69.278629876343032</v>
      </c>
      <c r="EZ151" s="422">
        <f t="shared" si="81"/>
        <v>0.18291611727640128</v>
      </c>
      <c r="FA151">
        <v>0</v>
      </c>
      <c r="FD151" s="306" t="s">
        <v>12</v>
      </c>
      <c r="FE151" s="306" t="s">
        <v>362</v>
      </c>
      <c r="FF151" s="306">
        <v>22890.217400000001</v>
      </c>
      <c r="FG151" s="306">
        <v>0.3417724802282317</v>
      </c>
      <c r="FH151" s="307">
        <v>849106</v>
      </c>
      <c r="FI151" s="308">
        <f t="shared" si="82"/>
        <v>69.278629876343032</v>
      </c>
      <c r="FJ151" s="308">
        <f t="shared" si="83"/>
        <v>0.18291611727640128</v>
      </c>
      <c r="FL151" s="101"/>
      <c r="FM151" s="101"/>
      <c r="FN151" s="101"/>
      <c r="FO151" s="101"/>
      <c r="FP151" s="374"/>
      <c r="FQ151" s="404"/>
      <c r="FR151" s="404"/>
    </row>
    <row r="152" spans="1:174" ht="25">
      <c r="A152" s="205"/>
      <c r="B152" s="205" t="s">
        <v>301</v>
      </c>
      <c r="C152" s="400">
        <f>$AB67*KTDB_TripDistribution_2025!T$12 * (1+KTDB_발생량도착량_증가율!$C$7*2)</f>
        <v>1773.3567525058882</v>
      </c>
      <c r="D152" s="400">
        <f>$AB67*KTDB_TripDistribution_2025!U$12 * (1+KTDB_발생량도착량_증가율!$C$7*2)</f>
        <v>12834.145614228146</v>
      </c>
      <c r="E152" s="400">
        <f>$AB67*KTDB_TripDistribution_2025!V$12 * (1+KTDB_발생량도착량_증가율!$C$7*2)</f>
        <v>736.26316671025165</v>
      </c>
      <c r="F152" s="400">
        <f>$AB67*KTDB_TripDistribution_2025!W$12 * (1+KTDB_발생량도착량_증가율!$C$7*2)</f>
        <v>1.1570400734053174</v>
      </c>
      <c r="G152" s="400">
        <f>$AB67*KTDB_TripDistribution_2025!X$12 * (1+KTDB_발생량도착량_증가율!$C$7*2)</f>
        <v>4.3710402773089934</v>
      </c>
      <c r="H152" s="400">
        <f>$AB67*KTDB_TripDistribution_2025!Y$12 * (1+KTDB_발생량도착량_증가율!$C$7*2)</f>
        <v>15349.293613795004</v>
      </c>
      <c r="I152" s="56"/>
      <c r="J152" s="56"/>
      <c r="K152" s="206"/>
      <c r="L152" s="206" t="s">
        <v>301</v>
      </c>
      <c r="M152" s="206">
        <f>INDEX($A$145:$H$158,MATCH($L152,$B$145:$B$158,0),MATCH($M$144,$A$145:$H$145,0))*고양시_Modal_split!C$3 * 0.01</f>
        <v>4.9653989070164863</v>
      </c>
      <c r="N152" s="206">
        <f>INDEX($A$145:$H$158,MATCH($L152,$B$145:$B$158,0),MATCH($M$144,$A$145:$H$145,0))*고양시_Modal_split!D$3 * 0.01</f>
        <v>834.00968070351928</v>
      </c>
      <c r="O152" s="206">
        <f>INDEX($A$145:$H$158,MATCH($L152,$B$145:$B$158,0),MATCH($M$144,$A$145:$H$145,0))*고양시_Modal_split!E$3 * 0.01</f>
        <v>100.90399921758502</v>
      </c>
      <c r="P152" s="206">
        <f>INDEX($A$145:$H$158,MATCH($L152,$B$145:$B$158,0),MATCH($M$144,$A$145:$H$145,0))*고양시_Modal_split!F$3 * 0.01</f>
        <v>162.61681420478993</v>
      </c>
      <c r="Q152" s="206">
        <f>INDEX($A$145:$H$158,MATCH($L152,$B$145:$B$158,0),MATCH($M$144,$A$145:$H$145,0))*고양시_Modal_split!G$3 * 0.01</f>
        <v>16.314882123054169</v>
      </c>
      <c r="R152" s="206">
        <f>INDEX($A$145:$H$158,MATCH($L152,$B$145:$B$158,0),MATCH($M$144,$A$145:$H$145,0))*고양시_Modal_split!H$3 * 0.01</f>
        <v>0.1773356752505888</v>
      </c>
      <c r="S152" s="206">
        <f>INDEX($A$145:$H$158,MATCH($L152,$B$145:$B$158,0),MATCH($M$144,$A$145:$H$145,0))*고양시_Modal_split!I$3 * 0.01</f>
        <v>49.299317719663691</v>
      </c>
      <c r="T152" s="206">
        <f>INDEX($A$145:$H$158,MATCH($L152,$B$145:$B$158,0),MATCH($M$144,$A$145:$H$145,0))*고양시_Modal_split!J$3 * 0.01</f>
        <v>539.80979546279241</v>
      </c>
      <c r="U152" s="206">
        <f>INDEX($A$145:$H$158,MATCH($L152,$B$145:$B$158,0),MATCH($M$144,$A$145:$H$145,0))*고양시_Modal_split!K$3 * 0.01</f>
        <v>2.6600351287588317</v>
      </c>
      <c r="V152" s="206">
        <f>INDEX($A$145:$H$158,MATCH($L152,$B$145:$B$158,0),MATCH($M$144,$A$145:$H$145,0))*고양시_Modal_split!L$3 * 0.01</f>
        <v>53.555373925677827</v>
      </c>
      <c r="W152" s="206">
        <f>INDEX($A$145:$H$158,MATCH($L152,$B$145:$B$158,0),MATCH($M$144,$A$145:$H$145,0))*고양시_Modal_split!M$3 * 0.01</f>
        <v>4.0787205307635421</v>
      </c>
      <c r="X152" s="206">
        <f>INDEX($A$145:$H$158,MATCH($L152,$B$145:$B$158,0),MATCH($M$144,$A$145:$H$145,0))*고양시_Modal_split!N$3 * 0.01</f>
        <v>1.7733567525058882</v>
      </c>
      <c r="Y152" s="206">
        <f>INDEX($A$145:$H$158,MATCH($L152,$B$145:$B$158,0),MATCH($M$144,$A$145:$H$145,0))*고양시_Modal_split!O$3 * 0.01</f>
        <v>3.1920421545105984</v>
      </c>
      <c r="Z152" s="209">
        <f>INDEX($A$145:$H$158,MATCH($L152,$B$145:$B$158,0),MATCH($M$144,$A$145:$H$145,0))*고양시_Modal_split!P$3 * 0.01</f>
        <v>1773.3567525058884</v>
      </c>
      <c r="AA152" s="207">
        <f>INDEX($A$145:$H$158,MATCH($L152,$B$145:$B$158,0),MATCH($AA$144,$A$145:$H$145,0))*고양시_Modal_split!C$3 * 0.01</f>
        <v>35.935607719838806</v>
      </c>
      <c r="AB152" s="207">
        <f>INDEX($A$145:$H$158,MATCH($L152,$B$145:$B$158,0),MATCH($AA$144,$A$145:$H$145,0))*고양시_Modal_split!D$3 * 0.01</f>
        <v>6035.8986823714968</v>
      </c>
      <c r="AC152" s="207">
        <f>INDEX($A$145:$H$158,MATCH($L152,$B$145:$B$158,0),MATCH($AA$144,$A$145:$H$145,0))*고양시_Modal_split!E$3 * 0.01</f>
        <v>730.2628854495814</v>
      </c>
      <c r="AD152" s="207">
        <f>INDEX($A$145:$H$158,MATCH($L152,$B$145:$B$158,0),MATCH($AA$144,$A$145:$H$145,0))*고양시_Modal_split!F$3 * 0.01</f>
        <v>1176.8911528247208</v>
      </c>
      <c r="AE152" s="207">
        <f>INDEX($A$145:$H$158,MATCH($L152,$B$145:$B$158,0),MATCH($AA$144,$A$145:$H$145,0))*고양시_Modal_split!G$3 * 0.01</f>
        <v>118.07413965089893</v>
      </c>
      <c r="AF152" s="207">
        <f>INDEX($A$145:$H$158,MATCH($L152,$B$145:$B$158,0),MATCH($AA$144,$A$145:$H$145,0))*고양시_Modal_split!H$3 * 0.01</f>
        <v>1.2834145614228145</v>
      </c>
      <c r="AG152" s="207">
        <f>INDEX($A$145:$H$158,MATCH($L152,$B$145:$B$158,0),MATCH($AA$144,$A$145:$H$145,0))*고양시_Modal_split!I$3 * 0.01</f>
        <v>356.78924807554245</v>
      </c>
      <c r="AH152" s="207">
        <f>INDEX($A$145:$H$158,MATCH($L152,$B$145:$B$158,0),MATCH($AA$144,$A$145:$H$145,0))*고양시_Modal_split!J$3 * 0.01</f>
        <v>3906.7139249710476</v>
      </c>
      <c r="AI152" s="207">
        <f>INDEX($A$145:$H$158,MATCH($L152,$B$145:$B$158,0),MATCH($AA$144,$A$145:$H$145,0))*고양시_Modal_split!K$3 * 0.01</f>
        <v>19.25121842134222</v>
      </c>
      <c r="AJ152" s="207">
        <f>INDEX($A$145:$H$158,MATCH($L152,$B$145:$B$158,0),MATCH($AA$144,$A$145:$H$145,0))*고양시_Modal_split!L$3 * 0.01</f>
        <v>387.59119754969004</v>
      </c>
      <c r="AK152" s="207">
        <f>INDEX($A$145:$H$158,MATCH($L152,$B$145:$B$158,0),MATCH($AA$144,$A$145:$H$145,0))*고양시_Modal_split!M$3 * 0.01</f>
        <v>29.518534912724732</v>
      </c>
      <c r="AL152" s="207">
        <f>INDEX($A$145:$H$158,MATCH($L152,$B$145:$B$158,0),MATCH($AA$144,$A$145:$H$145,0))*고양시_Modal_split!N$3 * 0.01</f>
        <v>12.834145614228147</v>
      </c>
      <c r="AM152" s="207">
        <f>INDEX($A$145:$H$158,MATCH($L152,$B$145:$B$158,0),MATCH($AA$144,$A$145:$H$145,0))*고양시_Modal_split!O$3 * 0.01</f>
        <v>23.101462105610661</v>
      </c>
      <c r="AN152" s="207">
        <f>INDEX($A$145:$H$158,MATCH($L152,$B$145:$B$158,0),MATCH($AA$144,$A$145:$H$145,0))*고양시_Modal_split!P$3 * 0.01</f>
        <v>12834.145614228146</v>
      </c>
      <c r="AO152" s="303">
        <f>INDEX($A$145:$H$158,MATCH($L152,$B$145:$B$158,0),MATCH($AO$144,$A$145:$H$145,0))*고양시_Modal_split!C$3 * 0.01</f>
        <v>2.0615368667887042</v>
      </c>
      <c r="AP152" s="303">
        <f>INDEX($A$145:$H$158,MATCH($L152,$B$145:$B$158,0),MATCH($AO$144,$A$145:$H$145,0))*고양시_Modal_split!D$3 * 0.01</f>
        <v>346.26456730383137</v>
      </c>
      <c r="AQ152" s="303">
        <f>INDEX($A$145:$H$158,MATCH($L152,$B$145:$B$158,0),MATCH($AO$144,$A$145:$H$145,0))*고양시_Modal_split!E$3 * 0.01</f>
        <v>41.893374185813322</v>
      </c>
      <c r="AR152" s="303">
        <f>INDEX($A$145:$H$158,MATCH($L152,$B$145:$B$158,0),MATCH($AO$144,$A$145:$H$145,0))*고양시_Modal_split!F$3 * 0.01</f>
        <v>67.515332387330076</v>
      </c>
      <c r="AS152" s="303">
        <f>INDEX($A$145:$H$158,MATCH($L152,$B$145:$B$158,0),MATCH($AO$144,$A$145:$H$145,0))*고양시_Modal_split!G$3 * 0.01</f>
        <v>6.7736211337343155</v>
      </c>
      <c r="AT152" s="303">
        <f>INDEX($A$145:$H$158,MATCH($L152,$B$145:$B$158,0),MATCH($AO$144,$A$145:$H$145,0))*고양시_Modal_split!H$3 * 0.01</f>
        <v>7.3626316671025163E-2</v>
      </c>
      <c r="AU152" s="303">
        <f>INDEX($A$145:$H$158,MATCH($L152,$B$145:$B$158,0),MATCH($AO$144,$A$145:$H$145,0))*고양시_Modal_split!I$3 * 0.01</f>
        <v>20.468116034544995</v>
      </c>
      <c r="AV152" s="303">
        <f>INDEX($A$145:$H$158,MATCH($L152,$B$145:$B$158,0),MATCH($AO$144,$A$145:$H$145,0))*고양시_Modal_split!J$3 * 0.01</f>
        <v>224.11850794660063</v>
      </c>
      <c r="AW152" s="303">
        <f>INDEX($A$145:$H$158,MATCH($L152,$B$145:$B$158,0),MATCH($AO$144,$A$145:$H$145,0))*고양시_Modal_split!K$3 * 0.01</f>
        <v>1.1043947500653775</v>
      </c>
      <c r="AX152" s="303">
        <f>INDEX($A$145:$H$158,MATCH($L152,$B$145:$B$158,0),MATCH($AO$144,$A$145:$H$145,0))*고양시_Modal_split!L$3 * 0.01</f>
        <v>22.235147634649604</v>
      </c>
      <c r="AY152" s="303">
        <f>INDEX($A$145:$H$158,MATCH($L152,$B$145:$B$158,0),MATCH($AO$144,$A$145:$H$145,0))*고양시_Modal_split!M$3 * 0.01</f>
        <v>1.6934052834335789</v>
      </c>
      <c r="AZ152" s="303">
        <f>INDEX($A$145:$H$158,MATCH($L152,$B$145:$B$158,0),MATCH($AO$144,$A$145:$H$145,0))*고양시_Modal_split!N$3 * 0.01</f>
        <v>0.73626316671025172</v>
      </c>
      <c r="BA152" s="207">
        <f>INDEX($A$145:$H$158,MATCH($L152,$B$145:$B$158,0),MATCH($AO$144,$A$145:$H$145,0))*고양시_Modal_split!O$3 * 0.01</f>
        <v>1.3252737000784529</v>
      </c>
      <c r="BB152" s="207">
        <f>INDEX($A$145:$H$158,MATCH($L152,$B$145:$B$158,0),MATCH($AO$144,$A$145:$H$145,0))*고양시_Modal_split!P$3 * 0.01</f>
        <v>736.26316671025165</v>
      </c>
      <c r="BC152" s="207">
        <f>INDEX($A$145:$H$158,MATCH($L152,$B$145:$B$158,0),MATCH($BC$144,$A$145:$H$145,0))*고양시_Modal_split!C$3 * 0.01</f>
        <v>3.2397122055348886E-3</v>
      </c>
      <c r="BD152" s="207">
        <f>INDEX($A$145:$H$158,MATCH($L152,$B$145:$B$158,0),MATCH($BC$144,$A$145:$H$145,0))*고양시_Modal_split!D$3 * 0.01</f>
        <v>0.54415594652252086</v>
      </c>
      <c r="BE152" s="207">
        <f>INDEX($A$145:$H$158,MATCH($L152,$B$145:$B$158,0),MATCH($BC$144,$A$145:$H$145,0))*고양시_Modal_split!E$3 * 0.01</f>
        <v>6.5835580176762568E-2</v>
      </c>
      <c r="BF152" s="207">
        <f>INDEX($A$145:$H$158,MATCH($L152,$B$145:$B$158,0),MATCH($BC$144,$A$145:$H$145,0))*고양시_Modal_split!F$3 * 0.01</f>
        <v>0.10610057473126761</v>
      </c>
      <c r="BG152" s="207">
        <f>INDEX($A$145:$H$158,MATCH($L152,$B$145:$B$158,0),MATCH($BC$144,$A$145:$H$145,0))*고양시_Modal_split!G$3 * 0.01</f>
        <v>1.064476867532892E-2</v>
      </c>
      <c r="BH152" s="207">
        <f>INDEX($A$145:$H$158,MATCH($L152,$B$145:$B$158,0),MATCH($BC$144,$A$145:$H$145,0))*고양시_Modal_split!H$3 * 0.01</f>
        <v>1.1570400734053174E-4</v>
      </c>
      <c r="BI152" s="207">
        <f>INDEX($A$145:$H$158,MATCH($L152,$B$145:$B$158,0),MATCH($BC$144,$A$145:$H$145,0))*고양시_Modal_split!I$3 * 0.01</f>
        <v>3.2165714040667821E-2</v>
      </c>
      <c r="BJ152" s="207">
        <f>INDEX($A$145:$H$158,MATCH($L152,$B$145:$B$158,0),MATCH($BC$144,$A$145:$H$145,0))*고양시_Modal_split!J$3 * 0.01</f>
        <v>0.35220299834457863</v>
      </c>
      <c r="BK152" s="207">
        <f>INDEX($A$145:$H$158,MATCH($L152,$B$145:$B$158,0),MATCH($BC$144,$A$145:$H$145,0))*고양시_Modal_split!K$3 * 0.01</f>
        <v>1.7355601101079763E-3</v>
      </c>
      <c r="BL152" s="207">
        <f>INDEX($A$145:$H$158,MATCH($L152,$B$145:$B$158,0),MATCH($BC$144,$A$145:$H$145,0))*고양시_Modal_split!L$3 * 0.01</f>
        <v>3.4942610216840586E-2</v>
      </c>
      <c r="BM152" s="207">
        <f>INDEX($A$145:$H$158,MATCH($L152,$B$145:$B$158,0),MATCH($BC$144,$A$145:$H$145,0))*고양시_Modal_split!M$3 * 0.01</f>
        <v>2.66119216883223E-3</v>
      </c>
      <c r="BN152" s="207">
        <f>INDEX($A$145:$H$158,MATCH($L152,$B$145:$B$158,0),MATCH($BC$144,$A$145:$H$145,0))*고양시_Modal_split!N$3 * 0.01</f>
        <v>1.1570400734053177E-3</v>
      </c>
      <c r="BO152" s="207">
        <f>INDEX($A$145:$H$158,MATCH($L152,$B$145:$B$158,0),MATCH($BC$144,$A$145:$H$145,0))*고양시_Modal_split!O$3 * 0.01</f>
        <v>2.0826721321295714E-3</v>
      </c>
      <c r="BP152" s="207">
        <f>INDEX($A$145:$H$158,MATCH($L152,$B$145:$B$158,0),MATCH($BC$144,$A$145:$H$145,0))*고양시_Modal_split!P$3 * 0.01</f>
        <v>1.1570400734053174</v>
      </c>
      <c r="BQ152" s="207">
        <f>INDEX($A$145:$H$158,MATCH($L152,$B$145:$B$158,0),MATCH($BQ$144,$A$145:$H$145,0))*고양시_Modal_split!C$3 * 0.01</f>
        <v>1.2238912776465181E-2</v>
      </c>
      <c r="BR152" s="207">
        <f>INDEX($A$145:$H$158,MATCH($L152,$B$145:$B$158,0),MATCH($BQ$144,$A$145:$H$145,0))*고양시_Modal_split!D$3 * 0.01</f>
        <v>2.0557002424184199</v>
      </c>
      <c r="BS152" s="207">
        <f>INDEX($A$145:$H$158,MATCH($L152,$B$145:$B$158,0),MATCH($BQ$144,$A$145:$H$145,0))*고양시_Modal_split!E$3 * 0.01</f>
        <v>0.24871219177888174</v>
      </c>
      <c r="BT152" s="207">
        <f>INDEX($A$145:$H$158,MATCH($L152,$B$145:$B$158,0),MATCH($BQ$144,$A$145:$H$145,0))*고양시_Modal_split!F$3 * 0.01</f>
        <v>0.4008243934292347</v>
      </c>
      <c r="BU152" s="207">
        <f>INDEX($A$145:$H$158,MATCH($L152,$B$145:$B$158,0),MATCH($BQ$144,$A$145:$H$145,0))*고양시_Modal_split!G$3 * 0.01</f>
        <v>4.0213570551242736E-2</v>
      </c>
      <c r="BV152" s="207">
        <f>INDEX($A$145:$H$158,MATCH($L152,$B$145:$B$158,0),MATCH($BQ$144,$A$145:$H$145,0))*고양시_Modal_split!H$3 * 0.01</f>
        <v>4.3710402773089934E-4</v>
      </c>
      <c r="BW152" s="207">
        <f>INDEX($A$145:$H$158,MATCH($L152,$B$145:$B$158,0),MATCH($BQ$144,$A$145:$H$145,0))*고양시_Modal_split!I$3 * 0.01</f>
        <v>0.12151491970919001</v>
      </c>
      <c r="BX152" s="207">
        <f>INDEX($A$145:$H$158,MATCH($L152,$B$145:$B$158,0),MATCH($BQ$144,$A$145:$H$145,0))*고양시_Modal_split!J$3 * 0.01</f>
        <v>1.3305446604128577</v>
      </c>
      <c r="BY152" s="207">
        <f>INDEX($A$145:$H$158,MATCH($L152,$B$145:$B$158,0),MATCH($BQ$144,$A$145:$H$145,0))*고양시_Modal_split!K$3 * 0.01</f>
        <v>6.5565604159634897E-3</v>
      </c>
      <c r="BZ152" s="207">
        <f>INDEX($A$145:$H$158,MATCH($L152,$B$145:$B$158,0),MATCH($BQ$144,$A$145:$H$145,0))*고양시_Modal_split!L$3 * 0.01</f>
        <v>0.13200541637473159</v>
      </c>
      <c r="CA152" s="207">
        <f>INDEX($A$145:$H$158,MATCH($L152,$B$145:$B$158,0),MATCH($BQ$144,$A$145:$H$145,0))*고양시_Modal_split!M$3 * 0.01</f>
        <v>1.0053392637810684E-2</v>
      </c>
      <c r="CB152" s="207">
        <f>INDEX($A$145:$H$158,MATCH($L152,$B$145:$B$158,0),MATCH($BQ$144,$A$145:$H$145,0))*고양시_Modal_split!N$3 * 0.01</f>
        <v>4.371040277308994E-3</v>
      </c>
      <c r="CC152" s="207">
        <f>INDEX($A$145:$H$158,MATCH($L152,$B$145:$B$158,0),MATCH($BQ$144,$A$145:$H$145,0))*고양시_Modal_split!O$3 * 0.01</f>
        <v>7.8678724991561883E-3</v>
      </c>
      <c r="CD152" s="207">
        <f>INDEX($A$145:$H$158,MATCH($L152,$B$145:$B$158,0),MATCH($BQ$144,$A$145:$H$145,0))*고양시_Modal_split!P$3 * 0.01</f>
        <v>4.3710402773089934</v>
      </c>
      <c r="CE152" s="304">
        <f t="shared" si="84"/>
        <v>42.978022118626001</v>
      </c>
      <c r="CF152" s="304">
        <f t="shared" si="64"/>
        <v>7218.772786567788</v>
      </c>
      <c r="CG152" s="304">
        <f t="shared" si="65"/>
        <v>873.37480662493533</v>
      </c>
      <c r="CH152" s="304">
        <f t="shared" si="66"/>
        <v>1407.5302243850015</v>
      </c>
      <c r="CI152" s="304">
        <f t="shared" si="67"/>
        <v>141.21350124691395</v>
      </c>
      <c r="CJ152" s="304">
        <f t="shared" si="68"/>
        <v>1.5349293613794999</v>
      </c>
      <c r="CK152" s="304">
        <f t="shared" si="69"/>
        <v>426.71036246350099</v>
      </c>
      <c r="CL152" s="304">
        <f t="shared" si="70"/>
        <v>4672.3249760391973</v>
      </c>
      <c r="CM152" s="304">
        <f t="shared" si="71"/>
        <v>23.023940420692501</v>
      </c>
      <c r="CN152" s="304">
        <f t="shared" si="72"/>
        <v>463.54866713660903</v>
      </c>
      <c r="CO152" s="304">
        <f t="shared" si="73"/>
        <v>35.303375311728487</v>
      </c>
      <c r="CP152" s="304">
        <f t="shared" si="74"/>
        <v>15.349293613795002</v>
      </c>
      <c r="CQ152" s="304">
        <f t="shared" si="75"/>
        <v>27.628728504830995</v>
      </c>
      <c r="CR152" s="304">
        <f t="shared" si="76"/>
        <v>15349.293613795</v>
      </c>
      <c r="CS152" s="305">
        <f t="shared" si="85"/>
        <v>0</v>
      </c>
      <c r="CV152" s="267"/>
      <c r="CW152" s="267" t="s">
        <v>301</v>
      </c>
      <c r="CX152" s="267">
        <f>INDEX($M$144:$Z$158,MATCH($CW152,$L$144:$L$158,0),MATCH(CX$145,$M$145:$Z$145,0))/INDEX(고양시_재차인원!$D$4:$H$35,MATCH("고양시",고양시_재차인원!$B$4:$B$35,0),MATCH($CX$144,고양시_재차인원!$D$4:$H$4,0))</f>
        <v>744.65150062814212</v>
      </c>
      <c r="CY152" s="267">
        <f>INDEX($M$144:$Z$158,MATCH($CW152,$L$144:$L$158,0),MATCH(CY$145,$M$145:$Z$145,0))/INDEX(고양시_재차인원!$K$4:$O$20,MATCH("경기도",고양시_재차인원!$K$4:$K$20,0),MATCH(CY$145,고양시_재차인원!$K$4:$O$4,0))</f>
        <v>6.1596274835216671E-3</v>
      </c>
      <c r="CZ152" s="267">
        <f>INDEX($M$144:$Z$158,MATCH($CW152,$L$144:$L$158,0),MATCH(CZ$145,$M$145:$Z$145,0))/INDEX(고양시_재차인원!$K$4:$O$20,MATCH("경기도",고양시_재차인원!$K$4:$K$20,0),MATCH(CZ$145,고양시_재차인원!$K$4:$O$4,0))</f>
        <v>1.7123764404190236</v>
      </c>
      <c r="DA152" s="267">
        <f>INDEX($M$144:$Z$158,MATCH($CW152,$L$144:$L$158,0),MATCH(DA$145,$M$145:$Z$145,0))/INDEX(고양시_재차인원!$D$4:$H$35,MATCH("고양시",고양시_재차인원!$B$4:$B$35,0),MATCH($CX$144,고양시_재차인원!$D$4:$H$4,0))</f>
        <v>47.817298147926628</v>
      </c>
      <c r="DB152" s="267">
        <f>INDEX($AA$144:$AN$158,MATCH($CW152,$L$144:$L$158,0),MATCH(DB$145,$AA$145:$AN$145,0))/INDEX(고양시_재차인원!$D$4:$H$35,MATCH("고양시",고양시_재차인원!$B$4:$B$35,0),MATCH($DB$144,고양시_재차인원!$D$4:$H$4,0))</f>
        <v>4280.779207355672</v>
      </c>
      <c r="DC152" s="267">
        <f>INDEX($AA$144:$AN$158,MATCH($CW152,$L$144:$L$158,0),MATCH(DC$145,$AA$145:$AN$145,0))/INDEX(고양시_재차인원!$K$4:$O$20,MATCH("경기도",고양시_재차인원!$K$4:$K$20,0),MATCH(DC$145,고양시_재차인원!$K$4:$O$4,0))</f>
        <v>4.4578484245321799E-2</v>
      </c>
      <c r="DD152" s="267">
        <f>INDEX($AA$144:$AN$158,MATCH($CW152,$L$144:$L$158,0),MATCH(DD$145,$AA$145:$AN$145,0))/INDEX(고양시_재차인원!$K$4:$O$20,MATCH("경기도",고양시_재차인원!$K$4:$K$20,0),MATCH(DD$145,고양시_재차인원!$K$4:$O$4,0))</f>
        <v>12.39281862019946</v>
      </c>
      <c r="DE152" s="267">
        <f>INDEX($AA$144:$AN$158,MATCH($CW152,$L$144:$L$158,0),MATCH(DE$145,$AA$145:$AN$145,0))/INDEX(고양시_재차인원!$D$4:$H$35,MATCH("고양시",고양시_재차인원!$B$4:$B$35,0),MATCH($DB$144,고양시_재차인원!$D$4:$H$4,0))</f>
        <v>274.88737414871633</v>
      </c>
      <c r="DF152" s="267">
        <f>INDEX($AO$144:$BB$158,MATCH($CW152,$L$144:$L$158,0),MATCH(DF$145,$AO$145:$BB$145,0))/INDEX(고양시_재차인원!$D$4:$H$35,MATCH("고양시",고양시_재차인원!$B$4:$B$35,0),MATCH($DF$144,고양시_재차인원!$D$4:$H$4,0))</f>
        <v>266.35735946448568</v>
      </c>
      <c r="DG152" s="267">
        <f>INDEX($AO$144:$BB$158,MATCH($CW152,$L$144:$L$158,0),MATCH(DG$145,$AO$145:$BB$145,0))/INDEX(고양시_재차인원!$K$4:$O$20,MATCH("경기도",고양시_재차인원!$K$4:$K$20,0),MATCH(DG$145,고양시_재차인원!$K$4:$O$4,0))</f>
        <v>2.5573573001398111E-3</v>
      </c>
      <c r="DH152" s="267">
        <f>INDEX($AO$144:$BB$158,MATCH($CW152,$L$144:$L$158,0),MATCH(DH$145,$AO$145:$BB$145,0))/INDEX(고양시_재차인원!$K$4:$O$20,MATCH("경기도",고양시_재차인원!$K$4:$K$20,0),MATCH(DH$145,고양시_재차인원!$K$4:$O$4,0))</f>
        <v>0.71094532943886746</v>
      </c>
      <c r="DI152" s="267">
        <f>INDEX($AO$144:$BB$158,MATCH($CW152,$L$144:$L$158,0),MATCH(DI$145,$AO$145:$BB$145,0))/INDEX(고양시_재차인원!$D$4:$H$35,MATCH("고양시",고양시_재차인원!$B$4:$B$35,0),MATCH($DF$144,고양시_재차인원!$D$4:$H$4,0))</f>
        <v>17.103959718961232</v>
      </c>
      <c r="DJ152" s="267">
        <f>INDEX($BC$144:$BP$158,MATCH($CW152,$L$144:$L$158,0),MATCH(DJ$145,$BC$145:$BP$145,0))/INDEX(고양시_재차인원!$D$4:$H$35,MATCH("고양시",고양시_재차인원!$B$4:$B$35,0),MATCH($DJ$144,고양시_재차인원!$D$4:$H$4,0))</f>
        <v>0.40011466656067707</v>
      </c>
      <c r="DK152" s="267">
        <f>INDEX($BC$144:$BP$158,MATCH($CW152,$L$144:$L$158,0),MATCH(DK$145,$BC$145:$BP$145,0))/INDEX(고양시_재차인원!$K$4:$O$20,MATCH("경기도",고양시_재차인원!$K$4:$K$20,0),MATCH(DK$145,고양시_재차인원!$K$4:$O$4,0))</f>
        <v>4.0188957047770666E-6</v>
      </c>
      <c r="DL152" s="267">
        <f>INDEX($BC$144:$BP$158,MATCH($CW152,$L$144:$L$158,0),MATCH(DL$145,$BC$145:$BP$145,0))/INDEX(고양시_재차인원!$K$4:$O$20,MATCH("경기도",고양시_재차인원!$K$4:$K$20,0),MATCH(DL$145,고양시_재차인원!$K$4:$O$4,0))</f>
        <v>1.1172530059280245E-3</v>
      </c>
      <c r="DM152" s="267">
        <f>INDEX($BC$144:$BP$158,MATCH($CW152,$L$144:$L$158,0),MATCH(DM$145,$BC$145:$BP$145,0))/INDEX(고양시_재차인원!$D$4:$H$35,MATCH("고양시",고양시_재차인원!$B$4:$B$35,0),MATCH($DJ$144,고양시_재차인원!$D$4:$H$4,0))</f>
        <v>2.5693095747676899E-2</v>
      </c>
      <c r="DN152" s="267">
        <f>INDEX($BQ$144:$CD$158,MATCH($CW152,$L$144:$L$158,0),MATCH(DN$145,$BQ$145:$CD$145,0))/INDEX(고양시_재차인원!$D$4:$H$35,MATCH("고양시",고양시_재차인원!$B$4:$B$35,0),MATCH($DN$144,고양시_재차인원!$D$4:$H$4,0))</f>
        <v>1.6315081289035078</v>
      </c>
      <c r="DO152" s="267">
        <f>INDEX($BQ$144:$CD$158,MATCH($CW152,$L$144:$L$158,0),MATCH(DO$145,$BQ$145:$CD$145,0))/INDEX(고양시_재차인원!$K$4:$O$20,MATCH("경기도",고양시_재차인원!$K$4:$K$20,0),MATCH(DO$145,고양시_재차인원!$K$4:$O$4,0))</f>
        <v>1.5182494884713421E-5</v>
      </c>
      <c r="DP152" s="267">
        <f>INDEX($BQ$144:$CD$158,MATCH($CW152,$L$144:$L$158,0),MATCH(DP$145,$BQ$145:$CD$145,0))/INDEX(고양시_재차인원!$K$4:$O$20,MATCH("경기도",고양시_재차인원!$K$4:$K$20,0),MATCH(DP$145,고양시_재차인원!$K$4:$O$4,0))</f>
        <v>4.2207335779503308E-3</v>
      </c>
      <c r="DQ152" s="267">
        <f>INDEX($BQ$144:$CD$158,MATCH($CW152,$L$144:$L$158,0),MATCH(DQ$145,$BQ$145:$CD$145,0))/INDEX(고양시_재차인원!$D$4:$H$35,MATCH("고양시",고양시_재차인원!$B$4:$B$35,0),MATCH($DN$144,고양시_재차인원!$D$4:$H$4,0))</f>
        <v>0.1047662034720092</v>
      </c>
      <c r="DR152" s="270">
        <f t="shared" si="86"/>
        <v>5293.8196902437639</v>
      </c>
      <c r="DS152" s="270">
        <f t="shared" si="77"/>
        <v>5.3314670419572767E-2</v>
      </c>
      <c r="DT152" s="270">
        <f t="shared" si="78"/>
        <v>14.821478376641229</v>
      </c>
      <c r="DU152" s="270">
        <f t="shared" si="79"/>
        <v>339.93909131482388</v>
      </c>
      <c r="DW152" s="278"/>
      <c r="DX152" s="278" t="s">
        <v>301</v>
      </c>
      <c r="DY152" s="281">
        <f t="shared" si="87"/>
        <v>5633.7587815585875</v>
      </c>
      <c r="DZ152" s="281">
        <f t="shared" si="88"/>
        <v>14.874793047060802</v>
      </c>
      <c r="EB152" s="278"/>
      <c r="EC152" s="278" t="s">
        <v>301</v>
      </c>
      <c r="ED152" s="281">
        <f t="shared" si="89"/>
        <v>5633.7587815585875</v>
      </c>
      <c r="EE152" s="281">
        <f t="shared" si="80"/>
        <v>14.874793047060802</v>
      </c>
      <c r="EL152" s="306" t="s">
        <v>12</v>
      </c>
      <c r="EM152" s="306" t="s">
        <v>363</v>
      </c>
      <c r="EN152" s="306">
        <v>10963.124400000001</v>
      </c>
      <c r="EO152" s="306">
        <v>0.16368976107840044</v>
      </c>
      <c r="EP152" s="307">
        <v>849107</v>
      </c>
      <c r="EQ152" s="308">
        <f t="shared" si="90"/>
        <v>34.153947762075724</v>
      </c>
      <c r="ER152" s="308">
        <f t="shared" si="91"/>
        <v>9.0176545428956714E-2</v>
      </c>
      <c r="ET152" s="420" t="s">
        <v>12</v>
      </c>
      <c r="EU152" s="420" t="s">
        <v>363</v>
      </c>
      <c r="EV152" s="420">
        <v>10963.124400000001</v>
      </c>
      <c r="EW152" s="420">
        <v>0.16368976107840044</v>
      </c>
      <c r="EX152" s="421">
        <v>849107</v>
      </c>
      <c r="EY152" s="422">
        <f t="shared" si="92"/>
        <v>33.180560250856566</v>
      </c>
      <c r="EZ152" s="422">
        <f t="shared" si="81"/>
        <v>8.7606513884231449E-2</v>
      </c>
      <c r="FA152">
        <v>0</v>
      </c>
      <c r="FD152" s="306" t="s">
        <v>12</v>
      </c>
      <c r="FE152" s="306" t="s">
        <v>363</v>
      </c>
      <c r="FF152" s="306">
        <v>10963.124400000001</v>
      </c>
      <c r="FG152" s="306">
        <v>0.16368976107840044</v>
      </c>
      <c r="FH152" s="307">
        <v>849107</v>
      </c>
      <c r="FI152" s="308">
        <f t="shared" si="82"/>
        <v>33.180560250856566</v>
      </c>
      <c r="FJ152" s="308">
        <f t="shared" si="83"/>
        <v>8.7606513884231449E-2</v>
      </c>
      <c r="FL152" s="101"/>
      <c r="FM152" s="101"/>
      <c r="FN152" s="101"/>
      <c r="FO152" s="101"/>
      <c r="FP152" s="374"/>
      <c r="FQ152" s="404"/>
      <c r="FR152" s="404"/>
    </row>
    <row r="153" spans="1:174">
      <c r="A153" s="205"/>
      <c r="B153" s="205" t="s">
        <v>302</v>
      </c>
      <c r="C153" s="400">
        <f>$AB68*KTDB_TripDistribution_2025!T$12 * (1+KTDB_발생량도착량_증가율!$C$7*2)</f>
        <v>21.132660463103903</v>
      </c>
      <c r="D153" s="400">
        <f>$AB68*KTDB_TripDistribution_2025!U$12 * (1+KTDB_발생량도착량_증가율!$C$7*2)</f>
        <v>152.94138712713246</v>
      </c>
      <c r="E153" s="400">
        <f>$AB68*KTDB_TripDistribution_2025!V$12 * (1+KTDB_발생량도착량_증가율!$C$7*2)</f>
        <v>8.7738688177610502</v>
      </c>
      <c r="F153" s="400">
        <f>$AB68*KTDB_TripDistribution_2025!W$12 * (1+KTDB_발생량도착량_증가율!$C$7*2)</f>
        <v>1.3788164721468361E-2</v>
      </c>
      <c r="G153" s="400">
        <f>$AB68*KTDB_TripDistribution_2025!X$12 * (1+KTDB_발생량도착량_증가율!$C$7*2)</f>
        <v>5.2088622281102892E-2</v>
      </c>
      <c r="H153" s="400">
        <f>$AB68*KTDB_TripDistribution_2025!Y$12 * (1+KTDB_발생량도착량_증가율!$C$7*2)</f>
        <v>182.91379319500001</v>
      </c>
      <c r="I153" s="56"/>
      <c r="J153" s="56"/>
      <c r="K153" s="206"/>
      <c r="L153" s="206" t="s">
        <v>302</v>
      </c>
      <c r="M153" s="206">
        <f>INDEX($A$145:$H$158,MATCH($L153,$B$145:$B$158,0),MATCH($M$144,$A$145:$H$145,0))*고양시_Modal_split!C$3 * 0.01</f>
        <v>5.9171449296690923E-2</v>
      </c>
      <c r="N153" s="206">
        <f>INDEX($A$145:$H$158,MATCH($L153,$B$145:$B$158,0),MATCH($M$144,$A$145:$H$145,0))*고양시_Modal_split!D$3 * 0.01</f>
        <v>9.9386902157977666</v>
      </c>
      <c r="O153" s="206">
        <f>INDEX($A$145:$H$158,MATCH($L153,$B$145:$B$158,0),MATCH($M$144,$A$145:$H$145,0))*고양시_Modal_split!E$3 * 0.01</f>
        <v>1.2024483803506119</v>
      </c>
      <c r="P153" s="206">
        <f>INDEX($A$145:$H$158,MATCH($L153,$B$145:$B$158,0),MATCH($M$144,$A$145:$H$145,0))*고양시_Modal_split!F$3 * 0.01</f>
        <v>1.9378649644666279</v>
      </c>
      <c r="Q153" s="206">
        <f>INDEX($A$145:$H$158,MATCH($L153,$B$145:$B$158,0),MATCH($M$144,$A$145:$H$145,0))*고양시_Modal_split!G$3 * 0.01</f>
        <v>0.19442047626055592</v>
      </c>
      <c r="R153" s="206">
        <f>INDEX($A$145:$H$158,MATCH($L153,$B$145:$B$158,0),MATCH($M$144,$A$145:$H$145,0))*고양시_Modal_split!H$3 * 0.01</f>
        <v>2.1132660463103903E-3</v>
      </c>
      <c r="S153" s="206">
        <f>INDEX($A$145:$H$158,MATCH($L153,$B$145:$B$158,0),MATCH($M$144,$A$145:$H$145,0))*고양시_Modal_split!I$3 * 0.01</f>
        <v>0.58748796087428845</v>
      </c>
      <c r="T153" s="206">
        <f>INDEX($A$145:$H$158,MATCH($L153,$B$145:$B$158,0),MATCH($M$144,$A$145:$H$145,0))*고양시_Modal_split!J$3 * 0.01</f>
        <v>6.4327818449688294</v>
      </c>
      <c r="U153" s="206">
        <f>INDEX($A$145:$H$158,MATCH($L153,$B$145:$B$158,0),MATCH($M$144,$A$145:$H$145,0))*고양시_Modal_split!K$3 * 0.01</f>
        <v>3.1698990694655857E-2</v>
      </c>
      <c r="V153" s="206">
        <f>INDEX($A$145:$H$158,MATCH($L153,$B$145:$B$158,0),MATCH($M$144,$A$145:$H$145,0))*고양시_Modal_split!L$3 * 0.01</f>
        <v>0.63820634598573789</v>
      </c>
      <c r="W153" s="206">
        <f>INDEX($A$145:$H$158,MATCH($L153,$B$145:$B$158,0),MATCH($M$144,$A$145:$H$145,0))*고양시_Modal_split!M$3 * 0.01</f>
        <v>4.860511906513898E-2</v>
      </c>
      <c r="X153" s="206">
        <f>INDEX($A$145:$H$158,MATCH($L153,$B$145:$B$158,0),MATCH($M$144,$A$145:$H$145,0))*고양시_Modal_split!N$3 * 0.01</f>
        <v>2.1132660463103907E-2</v>
      </c>
      <c r="Y153" s="206">
        <f>INDEX($A$145:$H$158,MATCH($L153,$B$145:$B$158,0),MATCH($M$144,$A$145:$H$145,0))*고양시_Modal_split!O$3 * 0.01</f>
        <v>3.8038788833587023E-2</v>
      </c>
      <c r="Z153" s="209">
        <f>INDEX($A$145:$H$158,MATCH($L153,$B$145:$B$158,0),MATCH($M$144,$A$145:$H$145,0))*고양시_Modal_split!P$3 * 0.01</f>
        <v>21.132660463103903</v>
      </c>
      <c r="AA153" s="207">
        <f>INDEX($A$145:$H$158,MATCH($L153,$B$145:$B$158,0),MATCH($AA$144,$A$145:$H$145,0))*고양시_Modal_split!C$3 * 0.01</f>
        <v>0.42823588395597084</v>
      </c>
      <c r="AB153" s="207">
        <f>INDEX($A$145:$H$158,MATCH($L153,$B$145:$B$158,0),MATCH($AA$144,$A$145:$H$145,0))*고양시_Modal_split!D$3 * 0.01</f>
        <v>71.928334365890393</v>
      </c>
      <c r="AC153" s="207">
        <f>INDEX($A$145:$H$158,MATCH($L153,$B$145:$B$158,0),MATCH($AA$144,$A$145:$H$145,0))*고양시_Modal_split!E$3 * 0.01</f>
        <v>8.7023649275338357</v>
      </c>
      <c r="AD153" s="207">
        <f>INDEX($A$145:$H$158,MATCH($L153,$B$145:$B$158,0),MATCH($AA$144,$A$145:$H$145,0))*고양시_Modal_split!F$3 * 0.01</f>
        <v>14.024725199558048</v>
      </c>
      <c r="AE153" s="207">
        <f>INDEX($A$145:$H$158,MATCH($L153,$B$145:$B$158,0),MATCH($AA$144,$A$145:$H$145,0))*고양시_Modal_split!G$3 * 0.01</f>
        <v>1.4070607615696185</v>
      </c>
      <c r="AF153" s="207">
        <f>INDEX($A$145:$H$158,MATCH($L153,$B$145:$B$158,0),MATCH($AA$144,$A$145:$H$145,0))*고양시_Modal_split!H$3 * 0.01</f>
        <v>1.5294138712713247E-2</v>
      </c>
      <c r="AG153" s="207">
        <f>INDEX($A$145:$H$158,MATCH($L153,$B$145:$B$158,0),MATCH($AA$144,$A$145:$H$145,0))*고양시_Modal_split!I$3 * 0.01</f>
        <v>4.2517705621342818</v>
      </c>
      <c r="AH153" s="207">
        <f>INDEX($A$145:$H$158,MATCH($L153,$B$145:$B$158,0),MATCH($AA$144,$A$145:$H$145,0))*고양시_Modal_split!J$3 * 0.01</f>
        <v>46.555358241499128</v>
      </c>
      <c r="AI153" s="207">
        <f>INDEX($A$145:$H$158,MATCH($L153,$B$145:$B$158,0),MATCH($AA$144,$A$145:$H$145,0))*고양시_Modal_split!K$3 * 0.01</f>
        <v>0.22941208069069871</v>
      </c>
      <c r="AJ153" s="207">
        <f>INDEX($A$145:$H$158,MATCH($L153,$B$145:$B$158,0),MATCH($AA$144,$A$145:$H$145,0))*고양시_Modal_split!L$3 * 0.01</f>
        <v>4.6188298912394004</v>
      </c>
      <c r="AK153" s="207">
        <f>INDEX($A$145:$H$158,MATCH($L153,$B$145:$B$158,0),MATCH($AA$144,$A$145:$H$145,0))*고양시_Modal_split!M$3 * 0.01</f>
        <v>0.35176519039240461</v>
      </c>
      <c r="AL153" s="207">
        <f>INDEX($A$145:$H$158,MATCH($L153,$B$145:$B$158,0),MATCH($AA$144,$A$145:$H$145,0))*고양시_Modal_split!N$3 * 0.01</f>
        <v>0.15294138712713248</v>
      </c>
      <c r="AM153" s="207">
        <f>INDEX($A$145:$H$158,MATCH($L153,$B$145:$B$158,0),MATCH($AA$144,$A$145:$H$145,0))*고양시_Modal_split!O$3 * 0.01</f>
        <v>0.27529449682883839</v>
      </c>
      <c r="AN153" s="207">
        <f>INDEX($A$145:$H$158,MATCH($L153,$B$145:$B$158,0),MATCH($AA$144,$A$145:$H$145,0))*고양시_Modal_split!P$3 * 0.01</f>
        <v>152.94138712713246</v>
      </c>
      <c r="AO153" s="303">
        <f>INDEX($A$145:$H$158,MATCH($L153,$B$145:$B$158,0),MATCH($AO$144,$A$145:$H$145,0))*고양시_Modal_split!C$3 * 0.01</f>
        <v>2.4566832689730939E-2</v>
      </c>
      <c r="AP153" s="303">
        <f>INDEX($A$145:$H$158,MATCH($L153,$B$145:$B$158,0),MATCH($AO$144,$A$145:$H$145,0))*고양시_Modal_split!D$3 * 0.01</f>
        <v>4.126350504993022</v>
      </c>
      <c r="AQ153" s="303">
        <f>INDEX($A$145:$H$158,MATCH($L153,$B$145:$B$158,0),MATCH($AO$144,$A$145:$H$145,0))*고양시_Modal_split!E$3 * 0.01</f>
        <v>0.49923313573060368</v>
      </c>
      <c r="AR153" s="303">
        <f>INDEX($A$145:$H$158,MATCH($L153,$B$145:$B$158,0),MATCH($AO$144,$A$145:$H$145,0))*고양시_Modal_split!F$3 * 0.01</f>
        <v>0.80456377058868822</v>
      </c>
      <c r="AS153" s="303">
        <f>INDEX($A$145:$H$158,MATCH($L153,$B$145:$B$158,0),MATCH($AO$144,$A$145:$H$145,0))*고양시_Modal_split!G$3 * 0.01</f>
        <v>8.0719593123401656E-2</v>
      </c>
      <c r="AT153" s="303">
        <f>INDEX($A$145:$H$158,MATCH($L153,$B$145:$B$158,0),MATCH($AO$144,$A$145:$H$145,0))*고양시_Modal_split!H$3 * 0.01</f>
        <v>8.7738688177610511E-4</v>
      </c>
      <c r="AU153" s="303">
        <f>INDEX($A$145:$H$158,MATCH($L153,$B$145:$B$158,0),MATCH($AO$144,$A$145:$H$145,0))*고양시_Modal_split!I$3 * 0.01</f>
        <v>0.2439135531337572</v>
      </c>
      <c r="AV153" s="303">
        <f>INDEX($A$145:$H$158,MATCH($L153,$B$145:$B$158,0),MATCH($AO$144,$A$145:$H$145,0))*고양시_Modal_split!J$3 * 0.01</f>
        <v>2.6707656681264638</v>
      </c>
      <c r="AW153" s="303">
        <f>INDEX($A$145:$H$158,MATCH($L153,$B$145:$B$158,0),MATCH($AO$144,$A$145:$H$145,0))*고양시_Modal_split!K$3 * 0.01</f>
        <v>1.3160803226641576E-2</v>
      </c>
      <c r="AX153" s="303">
        <f>INDEX($A$145:$H$158,MATCH($L153,$B$145:$B$158,0),MATCH($AO$144,$A$145:$H$145,0))*고양시_Modal_split!L$3 * 0.01</f>
        <v>0.26497083829638368</v>
      </c>
      <c r="AY153" s="303">
        <f>INDEX($A$145:$H$158,MATCH($L153,$B$145:$B$158,0),MATCH($AO$144,$A$145:$H$145,0))*고양시_Modal_split!M$3 * 0.01</f>
        <v>2.0179898280850414E-2</v>
      </c>
      <c r="AZ153" s="303">
        <f>INDEX($A$145:$H$158,MATCH($L153,$B$145:$B$158,0),MATCH($AO$144,$A$145:$H$145,0))*고양시_Modal_split!N$3 * 0.01</f>
        <v>8.7738688177610505E-3</v>
      </c>
      <c r="BA153" s="207">
        <f>INDEX($A$145:$H$158,MATCH($L153,$B$145:$B$158,0),MATCH($AO$144,$A$145:$H$145,0))*고양시_Modal_split!O$3 * 0.01</f>
        <v>1.5792963871969889E-2</v>
      </c>
      <c r="BB153" s="207">
        <f>INDEX($A$145:$H$158,MATCH($L153,$B$145:$B$158,0),MATCH($AO$144,$A$145:$H$145,0))*고양시_Modal_split!P$3 * 0.01</f>
        <v>8.7738688177610502</v>
      </c>
      <c r="BC153" s="207">
        <f>INDEX($A$145:$H$158,MATCH($L153,$B$145:$B$158,0),MATCH($BC$144,$A$145:$H$145,0))*고양시_Modal_split!C$3 * 0.01</f>
        <v>3.8606861220111409E-5</v>
      </c>
      <c r="BD153" s="207">
        <f>INDEX($A$145:$H$158,MATCH($L153,$B$145:$B$158,0),MATCH($BC$144,$A$145:$H$145,0))*고양시_Modal_split!D$3 * 0.01</f>
        <v>6.48457386850657E-3</v>
      </c>
      <c r="BE153" s="207">
        <f>INDEX($A$145:$H$158,MATCH($L153,$B$145:$B$158,0),MATCH($BC$144,$A$145:$H$145,0))*고양시_Modal_split!E$3 * 0.01</f>
        <v>7.8454657265154967E-4</v>
      </c>
      <c r="BF153" s="207">
        <f>INDEX($A$145:$H$158,MATCH($L153,$B$145:$B$158,0),MATCH($BC$144,$A$145:$H$145,0))*고양시_Modal_split!F$3 * 0.01</f>
        <v>1.2643747049586487E-3</v>
      </c>
      <c r="BG153" s="207">
        <f>INDEX($A$145:$H$158,MATCH($L153,$B$145:$B$158,0),MATCH($BC$144,$A$145:$H$145,0))*고양시_Modal_split!G$3 * 0.01</f>
        <v>1.268511154375089E-4</v>
      </c>
      <c r="BH153" s="207">
        <f>INDEX($A$145:$H$158,MATCH($L153,$B$145:$B$158,0),MATCH($BC$144,$A$145:$H$145,0))*고양시_Modal_split!H$3 * 0.01</f>
        <v>1.3788164721468362E-6</v>
      </c>
      <c r="BI153" s="207">
        <f>INDEX($A$145:$H$158,MATCH($L153,$B$145:$B$158,0),MATCH($BC$144,$A$145:$H$145,0))*고양시_Modal_split!I$3 * 0.01</f>
        <v>3.8331097925682042E-4</v>
      </c>
      <c r="BJ153" s="207">
        <f>INDEX($A$145:$H$158,MATCH($L153,$B$145:$B$158,0),MATCH($BC$144,$A$145:$H$145,0))*고양시_Modal_split!J$3 * 0.01</f>
        <v>4.1971173412149697E-3</v>
      </c>
      <c r="BK153" s="207">
        <f>INDEX($A$145:$H$158,MATCH($L153,$B$145:$B$158,0),MATCH($BC$144,$A$145:$H$145,0))*고양시_Modal_split!K$3 * 0.01</f>
        <v>2.0682247082202544E-5</v>
      </c>
      <c r="BL153" s="207">
        <f>INDEX($A$145:$H$158,MATCH($L153,$B$145:$B$158,0),MATCH($BC$144,$A$145:$H$145,0))*고양시_Modal_split!L$3 * 0.01</f>
        <v>4.1640257458834453E-4</v>
      </c>
      <c r="BM153" s="207">
        <f>INDEX($A$145:$H$158,MATCH($L153,$B$145:$B$158,0),MATCH($BC$144,$A$145:$H$145,0))*고양시_Modal_split!M$3 * 0.01</f>
        <v>3.1712778859377225E-5</v>
      </c>
      <c r="BN153" s="207">
        <f>INDEX($A$145:$H$158,MATCH($L153,$B$145:$B$158,0),MATCH($BC$144,$A$145:$H$145,0))*고양시_Modal_split!N$3 * 0.01</f>
        <v>1.3788164721468361E-5</v>
      </c>
      <c r="BO153" s="207">
        <f>INDEX($A$145:$H$158,MATCH($L153,$B$145:$B$158,0),MATCH($BC$144,$A$145:$H$145,0))*고양시_Modal_split!O$3 * 0.01</f>
        <v>2.481869649864305E-5</v>
      </c>
      <c r="BP153" s="207">
        <f>INDEX($A$145:$H$158,MATCH($L153,$B$145:$B$158,0),MATCH($BC$144,$A$145:$H$145,0))*고양시_Modal_split!P$3 * 0.01</f>
        <v>1.3788164721468361E-2</v>
      </c>
      <c r="BQ153" s="207">
        <f>INDEX($A$145:$H$158,MATCH($L153,$B$145:$B$158,0),MATCH($BQ$144,$A$145:$H$145,0))*고양시_Modal_split!C$3 * 0.01</f>
        <v>1.4584814238708809E-4</v>
      </c>
      <c r="BR153" s="207">
        <f>INDEX($A$145:$H$158,MATCH($L153,$B$145:$B$158,0),MATCH($BQ$144,$A$145:$H$145,0))*고양시_Modal_split!D$3 * 0.01</f>
        <v>2.4497279058802692E-2</v>
      </c>
      <c r="BS153" s="207">
        <f>INDEX($A$145:$H$158,MATCH($L153,$B$145:$B$158,0),MATCH($BQ$144,$A$145:$H$145,0))*고양시_Modal_split!E$3 * 0.01</f>
        <v>2.9638426077947546E-3</v>
      </c>
      <c r="BT153" s="207">
        <f>INDEX($A$145:$H$158,MATCH($L153,$B$145:$B$158,0),MATCH($BQ$144,$A$145:$H$145,0))*고양시_Modal_split!F$3 * 0.01</f>
        <v>4.7765266631771353E-3</v>
      </c>
      <c r="BU153" s="207">
        <f>INDEX($A$145:$H$158,MATCH($L153,$B$145:$B$158,0),MATCH($BQ$144,$A$145:$H$145,0))*고양시_Modal_split!G$3 * 0.01</f>
        <v>4.7921532498614662E-4</v>
      </c>
      <c r="BV153" s="207">
        <f>INDEX($A$145:$H$158,MATCH($L153,$B$145:$B$158,0),MATCH($BQ$144,$A$145:$H$145,0))*고양시_Modal_split!H$3 * 0.01</f>
        <v>5.2088622281102888E-6</v>
      </c>
      <c r="BW153" s="207">
        <f>INDEX($A$145:$H$158,MATCH($L153,$B$145:$B$158,0),MATCH($BQ$144,$A$145:$H$145,0))*고양시_Modal_split!I$3 * 0.01</f>
        <v>1.4480636994146604E-3</v>
      </c>
      <c r="BX153" s="207">
        <f>INDEX($A$145:$H$158,MATCH($L153,$B$145:$B$158,0),MATCH($BQ$144,$A$145:$H$145,0))*고양시_Modal_split!J$3 * 0.01</f>
        <v>1.5855776622367722E-2</v>
      </c>
      <c r="BY153" s="207">
        <f>INDEX($A$145:$H$158,MATCH($L153,$B$145:$B$158,0),MATCH($BQ$144,$A$145:$H$145,0))*고양시_Modal_split!K$3 * 0.01</f>
        <v>7.8132933421654345E-5</v>
      </c>
      <c r="BZ153" s="207">
        <f>INDEX($A$145:$H$158,MATCH($L153,$B$145:$B$158,0),MATCH($BQ$144,$A$145:$H$145,0))*고양시_Modal_split!L$3 * 0.01</f>
        <v>1.5730763928893075E-3</v>
      </c>
      <c r="CA153" s="207">
        <f>INDEX($A$145:$H$158,MATCH($L153,$B$145:$B$158,0),MATCH($BQ$144,$A$145:$H$145,0))*고양시_Modal_split!M$3 * 0.01</f>
        <v>1.1980383124653666E-4</v>
      </c>
      <c r="CB153" s="207">
        <f>INDEX($A$145:$H$158,MATCH($L153,$B$145:$B$158,0),MATCH($BQ$144,$A$145:$H$145,0))*고양시_Modal_split!N$3 * 0.01</f>
        <v>5.2088622281102894E-5</v>
      </c>
      <c r="CC153" s="207">
        <f>INDEX($A$145:$H$158,MATCH($L153,$B$145:$B$158,0),MATCH($BQ$144,$A$145:$H$145,0))*고양시_Modal_split!O$3 * 0.01</f>
        <v>9.3759520105985198E-5</v>
      </c>
      <c r="CD153" s="207">
        <f>INDEX($A$145:$H$158,MATCH($L153,$B$145:$B$158,0),MATCH($BQ$144,$A$145:$H$145,0))*고양시_Modal_split!P$3 * 0.01</f>
        <v>5.2088622281102899E-2</v>
      </c>
      <c r="CE153" s="304">
        <f t="shared" si="84"/>
        <v>0.51215862094599995</v>
      </c>
      <c r="CF153" s="304">
        <f t="shared" si="64"/>
        <v>86.024356939608495</v>
      </c>
      <c r="CG153" s="304">
        <f t="shared" si="65"/>
        <v>10.407794832795497</v>
      </c>
      <c r="CH153" s="304">
        <f t="shared" si="66"/>
        <v>16.773194835981503</v>
      </c>
      <c r="CI153" s="304">
        <f t="shared" si="67"/>
        <v>1.6828068973939998</v>
      </c>
      <c r="CJ153" s="304">
        <f t="shared" si="68"/>
        <v>1.8291379319499999E-2</v>
      </c>
      <c r="CK153" s="304">
        <f t="shared" si="69"/>
        <v>5.0850034508209996</v>
      </c>
      <c r="CL153" s="304">
        <f t="shared" si="70"/>
        <v>55.678958648558002</v>
      </c>
      <c r="CM153" s="304">
        <f t="shared" si="71"/>
        <v>0.27437068979250001</v>
      </c>
      <c r="CN153" s="304">
        <f t="shared" si="72"/>
        <v>5.5239965544889991</v>
      </c>
      <c r="CO153" s="304">
        <f t="shared" si="73"/>
        <v>0.42070172434849995</v>
      </c>
      <c r="CP153" s="304">
        <f t="shared" si="74"/>
        <v>0.18291379319500001</v>
      </c>
      <c r="CQ153" s="304">
        <f t="shared" si="75"/>
        <v>0.32924482775099989</v>
      </c>
      <c r="CR153" s="304">
        <f t="shared" si="76"/>
        <v>182.91379319499998</v>
      </c>
      <c r="CS153" s="305">
        <f t="shared" si="85"/>
        <v>0</v>
      </c>
      <c r="CV153" s="267"/>
      <c r="CW153" s="267" t="s">
        <v>302</v>
      </c>
      <c r="CX153" s="267">
        <f>INDEX($M$144:$Z$158,MATCH($CW153,$L$144:$L$158,0),MATCH(CX$145,$M$145:$Z$145,0))/INDEX(고양시_재차인원!$D$4:$H$35,MATCH("고양시",고양시_재차인원!$B$4:$B$35,0),MATCH($CX$144,고양시_재차인원!$D$4:$H$4,0))</f>
        <v>8.8738305498194343</v>
      </c>
      <c r="CY153" s="267">
        <f>INDEX($M$144:$Z$158,MATCH($CW153,$L$144:$L$158,0),MATCH(CY$145,$M$145:$Z$145,0))/INDEX(고양시_재차인원!$K$4:$O$20,MATCH("경기도",고양시_재차인원!$K$4:$K$20,0),MATCH(CY$145,고양시_재차인원!$K$4:$O$4,0))</f>
        <v>7.3402780351177163E-5</v>
      </c>
      <c r="CZ153" s="267">
        <f>INDEX($M$144:$Z$158,MATCH($CW153,$L$144:$L$158,0),MATCH(CZ$145,$M$145:$Z$145,0))/INDEX(고양시_재차인원!$K$4:$O$20,MATCH("경기도",고양시_재차인원!$K$4:$K$20,0),MATCH(CZ$145,고양시_재차인원!$K$4:$O$4,0))</f>
        <v>2.0405972937627248E-2</v>
      </c>
      <c r="DA153" s="267">
        <f>INDEX($M$144:$Z$158,MATCH($CW153,$L$144:$L$158,0),MATCH(DA$145,$M$145:$Z$145,0))/INDEX(고양시_재차인원!$D$4:$H$35,MATCH("고양시",고양시_재차인원!$B$4:$B$35,0),MATCH($CX$144,고양시_재차인원!$D$4:$H$4,0))</f>
        <v>0.56982709463012304</v>
      </c>
      <c r="DB153" s="267">
        <f>INDEX($AA$144:$AN$158,MATCH($CW153,$L$144:$L$158,0),MATCH(DB$145,$AA$145:$AN$145,0))/INDEX(고양시_재차인원!$D$4:$H$35,MATCH("고양시",고양시_재차인원!$B$4:$B$35,0),MATCH($DB$144,고양시_재차인원!$D$4:$H$4,0))</f>
        <v>51.013003096376167</v>
      </c>
      <c r="DC153" s="267">
        <f>INDEX($AA$144:$AN$158,MATCH($CW153,$L$144:$L$158,0),MATCH(DC$145,$AA$145:$AN$145,0))/INDEX(고양시_재차인원!$K$4:$O$20,MATCH("경기도",고양시_재차인원!$K$4:$K$20,0),MATCH(DC$145,고양시_재차인원!$K$4:$O$4,0))</f>
        <v>5.3123093826721939E-4</v>
      </c>
      <c r="DD153" s="267">
        <f>INDEX($AA$144:$AN$158,MATCH($CW153,$L$144:$L$158,0),MATCH(DD$145,$AA$145:$AN$145,0))/INDEX(고양시_재차인원!$K$4:$O$20,MATCH("경기도",고양시_재차인원!$K$4:$K$20,0),MATCH(DD$145,고양시_재차인원!$K$4:$O$4,0))</f>
        <v>0.14768220083828698</v>
      </c>
      <c r="DE153" s="267">
        <f>INDEX($AA$144:$AN$158,MATCH($CW153,$L$144:$L$158,0),MATCH(DE$145,$AA$145:$AN$145,0))/INDEX(고양시_재차인원!$D$4:$H$35,MATCH("고양시",고양시_재차인원!$B$4:$B$35,0),MATCH($DB$144,고양시_재차인원!$D$4:$H$4,0))</f>
        <v>3.2757658803116319</v>
      </c>
      <c r="DF153" s="267">
        <f>INDEX($AO$144:$BB$158,MATCH($CW153,$L$144:$L$158,0),MATCH(DF$145,$AO$145:$BB$145,0))/INDEX(고양시_재차인원!$D$4:$H$35,MATCH("고양시",고양시_재차인원!$B$4:$B$35,0),MATCH($DF$144,고양시_재차인원!$D$4:$H$4,0))</f>
        <v>3.1741157730715552</v>
      </c>
      <c r="DG153" s="267">
        <f>INDEX($AO$144:$BB$158,MATCH($CW153,$L$144:$L$158,0),MATCH(DG$145,$AO$145:$BB$145,0))/INDEX(고양시_재차인원!$K$4:$O$20,MATCH("경기도",고양시_재차인원!$K$4:$K$20,0),MATCH(DG$145,고양시_재차인원!$K$4:$O$4,0))</f>
        <v>3.047540402139997E-5</v>
      </c>
      <c r="DH153" s="267">
        <f>INDEX($AO$144:$BB$158,MATCH($CW153,$L$144:$L$158,0),MATCH(DH$145,$AO$145:$BB$145,0))/INDEX(고양시_재차인원!$K$4:$O$20,MATCH("경기도",고양시_재차인원!$K$4:$K$20,0),MATCH(DH$145,고양시_재차인원!$K$4:$O$4,0))</f>
        <v>8.4721623179491914E-3</v>
      </c>
      <c r="DI153" s="267">
        <f>INDEX($AO$144:$BB$158,MATCH($CW153,$L$144:$L$158,0),MATCH(DI$145,$AO$145:$BB$145,0))/INDEX(고양시_재차인원!$D$4:$H$35,MATCH("고양시",고양시_재차인원!$B$4:$B$35,0),MATCH($DF$144,고양시_재차인원!$D$4:$H$4,0))</f>
        <v>0.20382372176644897</v>
      </c>
      <c r="DJ153" s="267">
        <f>INDEX($BC$144:$BP$158,MATCH($CW153,$L$144:$L$158,0),MATCH(DJ$145,$BC$145:$BP$145,0))/INDEX(고양시_재차인원!$D$4:$H$35,MATCH("고양시",고양시_재차인원!$B$4:$B$35,0),MATCH($DJ$144,고양시_재차인원!$D$4:$H$4,0))</f>
        <v>4.768069020960713E-3</v>
      </c>
      <c r="DK153" s="267">
        <f>INDEX($BC$144:$BP$158,MATCH($CW153,$L$144:$L$158,0),MATCH(DK$145,$BC$145:$BP$145,0))/INDEX(고양시_재차인원!$K$4:$O$20,MATCH("경기도",고양시_재차인원!$K$4:$K$20,0),MATCH(DK$145,고양시_재차인원!$K$4:$O$4,0))</f>
        <v>4.7892201186065866E-8</v>
      </c>
      <c r="DL153" s="267">
        <f>INDEX($BC$144:$BP$158,MATCH($CW153,$L$144:$L$158,0),MATCH(DL$145,$BC$145:$BP$145,0))/INDEX(고양시_재차인원!$K$4:$O$20,MATCH("경기도",고양시_재차인원!$K$4:$K$20,0),MATCH(DL$145,고양시_재차인원!$K$4:$O$4,0))</f>
        <v>1.3314031929726309E-5</v>
      </c>
      <c r="DM153" s="267">
        <f>INDEX($BC$144:$BP$158,MATCH($CW153,$L$144:$L$158,0),MATCH(DM$145,$BC$145:$BP$145,0))/INDEX(고양시_재차인원!$D$4:$H$35,MATCH("고양시",고양시_재차인원!$B$4:$B$35,0),MATCH($DJ$144,고양시_재차인원!$D$4:$H$4,0))</f>
        <v>3.0617836366790037E-4</v>
      </c>
      <c r="DN153" s="267">
        <f>INDEX($BQ$144:$CD$158,MATCH($CW153,$L$144:$L$158,0),MATCH(DN$145,$BQ$145:$CD$145,0))/INDEX(고양시_재차인원!$D$4:$H$35,MATCH("고양시",고양시_재차인원!$B$4:$B$35,0),MATCH($DN$144,고양시_재차인원!$D$4:$H$4,0))</f>
        <v>1.9442284967303724E-2</v>
      </c>
      <c r="DO153" s="267">
        <f>INDEX($BQ$144:$CD$158,MATCH($CW153,$L$144:$L$158,0),MATCH(DO$145,$BQ$145:$CD$145,0))/INDEX(고양시_재차인원!$K$4:$O$20,MATCH("경기도",고양시_재차인원!$K$4:$K$20,0),MATCH(DO$145,고양시_재차인원!$K$4:$O$4,0))</f>
        <v>1.809260933695828E-7</v>
      </c>
      <c r="DP153" s="267">
        <f>INDEX($BQ$144:$CD$158,MATCH($CW153,$L$144:$L$158,0),MATCH(DP$145,$BQ$145:$CD$145,0))/INDEX(고양시_재차인원!$K$4:$O$20,MATCH("경기도",고양시_재차인원!$K$4:$K$20,0),MATCH(DP$145,고양시_재차인원!$K$4:$O$4,0))</f>
        <v>5.0297453956744025E-5</v>
      </c>
      <c r="DQ153" s="267">
        <f>INDEX($BQ$144:$CD$158,MATCH($CW153,$L$144:$L$158,0),MATCH(DQ$145,$BQ$145:$CD$145,0))/INDEX(고양시_재차인원!$D$4:$H$35,MATCH("고양시",고양시_재차인원!$B$4:$B$35,0),MATCH($DN$144,고양시_재차인원!$D$4:$H$4,0))</f>
        <v>1.2484733276899266E-3</v>
      </c>
      <c r="DR153" s="270">
        <f t="shared" si="86"/>
        <v>63.08515977325542</v>
      </c>
      <c r="DS153" s="270">
        <f t="shared" si="77"/>
        <v>6.3533794093435217E-4</v>
      </c>
      <c r="DT153" s="270">
        <f t="shared" si="78"/>
        <v>0.17662394757974989</v>
      </c>
      <c r="DU153" s="270">
        <f t="shared" si="79"/>
        <v>4.0509713483995622</v>
      </c>
      <c r="DW153" s="278"/>
      <c r="DX153" s="278" t="s">
        <v>302</v>
      </c>
      <c r="DY153" s="281">
        <f t="shared" si="87"/>
        <v>67.136131121654984</v>
      </c>
      <c r="DZ153" s="281">
        <f t="shared" si="88"/>
        <v>0.17725928552068423</v>
      </c>
      <c r="EB153" s="278"/>
      <c r="EC153" s="278" t="s">
        <v>302</v>
      </c>
      <c r="ED153" s="281">
        <f t="shared" si="89"/>
        <v>67.136131121654984</v>
      </c>
      <c r="EE153" s="281">
        <f t="shared" si="80"/>
        <v>0.17725928552068423</v>
      </c>
      <c r="EL153" s="306" t="s">
        <v>668</v>
      </c>
      <c r="EM153" s="306" t="s">
        <v>569</v>
      </c>
      <c r="EN153" s="306">
        <v>26312.316800000001</v>
      </c>
      <c r="EO153" s="306">
        <v>0.1416840985854132</v>
      </c>
      <c r="EP153" s="307">
        <v>849108</v>
      </c>
      <c r="EQ153" s="308">
        <f t="shared" si="90"/>
        <v>643.80150830475611</v>
      </c>
      <c r="ER153" s="308">
        <f t="shared" si="91"/>
        <v>1.6998268067078142</v>
      </c>
      <c r="ET153" s="420" t="s">
        <v>668</v>
      </c>
      <c r="EU153" s="420" t="s">
        <v>569</v>
      </c>
      <c r="EV153" s="420">
        <v>26312.316800000001</v>
      </c>
      <c r="EW153" s="420">
        <v>0.1416840985854132</v>
      </c>
      <c r="EX153" s="421">
        <v>849108</v>
      </c>
      <c r="EY153" s="422">
        <f t="shared" si="92"/>
        <v>625.45316531807055</v>
      </c>
      <c r="EZ153" s="422">
        <f t="shared" si="81"/>
        <v>1.6513817427166415</v>
      </c>
      <c r="FA153">
        <v>0</v>
      </c>
      <c r="FD153" s="306" t="s">
        <v>668</v>
      </c>
      <c r="FE153" s="306" t="s">
        <v>569</v>
      </c>
      <c r="FF153" s="306">
        <v>26312.316800000001</v>
      </c>
      <c r="FG153" s="306">
        <v>0.1416840985854132</v>
      </c>
      <c r="FH153" s="307">
        <v>849108</v>
      </c>
      <c r="FI153" s="308">
        <f t="shared" si="82"/>
        <v>625.45316531807055</v>
      </c>
      <c r="FJ153" s="308">
        <f t="shared" si="83"/>
        <v>1.6513817427166415</v>
      </c>
      <c r="FL153" s="101"/>
      <c r="FM153" s="101"/>
      <c r="FN153" s="101"/>
      <c r="FO153" s="101"/>
      <c r="FP153" s="374"/>
      <c r="FQ153" s="404"/>
      <c r="FR153" s="404"/>
    </row>
    <row r="154" spans="1:174">
      <c r="A154" s="205"/>
      <c r="B154" s="205" t="s">
        <v>303</v>
      </c>
      <c r="C154" s="400">
        <f>$AB69*KTDB_TripDistribution_2025!T$12 * (1+KTDB_발생량도착량_증가율!$C$7*2)</f>
        <v>37.398031781644519</v>
      </c>
      <c r="D154" s="400">
        <f>$AB69*KTDB_TripDistribution_2025!U$12 * (1+KTDB_발생량도착량_증가율!$C$7*2)</f>
        <v>270.65720695676208</v>
      </c>
      <c r="E154" s="400">
        <f>$AB69*KTDB_TripDistribution_2025!V$12 * (1+KTDB_발생량도착량_증가율!$C$7*2)</f>
        <v>15.526934030265183</v>
      </c>
      <c r="F154" s="400">
        <f>$AB69*KTDB_TripDistribution_2025!W$12 * (1+KTDB_발생량도착량_증가율!$C$7*2)</f>
        <v>2.44006296965927E-2</v>
      </c>
      <c r="G154" s="400">
        <f>$AB69*KTDB_TripDistribution_2025!X$12 * (1+KTDB_발생량도착량_증가율!$C$7*2)</f>
        <v>9.2180156631572752E-2</v>
      </c>
      <c r="H154" s="400">
        <f>$AB69*KTDB_TripDistribution_2025!Y$12 * (1+KTDB_발생량도착량_증가율!$C$7*2)</f>
        <v>323.69875355500005</v>
      </c>
      <c r="I154" s="56"/>
      <c r="J154" s="56"/>
      <c r="K154" s="206"/>
      <c r="L154" s="206" t="s">
        <v>303</v>
      </c>
      <c r="M154" s="206">
        <f>INDEX($A$145:$H$158,MATCH($L154,$B$145:$B$158,0),MATCH($M$144,$A$145:$H$145,0))*고양시_Modal_split!C$3 * 0.01</f>
        <v>0.10471448898860464</v>
      </c>
      <c r="N154" s="206">
        <f>INDEX($A$145:$H$158,MATCH($L154,$B$145:$B$158,0),MATCH($M$144,$A$145:$H$145,0))*고양시_Modal_split!D$3 * 0.01</f>
        <v>17.588294346907418</v>
      </c>
      <c r="O154" s="206">
        <f>INDEX($A$145:$H$158,MATCH($L154,$B$145:$B$158,0),MATCH($M$144,$A$145:$H$145,0))*고양시_Modal_split!E$3 * 0.01</f>
        <v>2.1279480083755731</v>
      </c>
      <c r="P154" s="206">
        <f>INDEX($A$145:$H$158,MATCH($L154,$B$145:$B$158,0),MATCH($M$144,$A$145:$H$145,0))*고양시_Modal_split!F$3 * 0.01</f>
        <v>3.4293995143768026</v>
      </c>
      <c r="Q154" s="206">
        <f>INDEX($A$145:$H$158,MATCH($L154,$B$145:$B$158,0),MATCH($M$144,$A$145:$H$145,0))*고양시_Modal_split!G$3 * 0.01</f>
        <v>0.34406189239112955</v>
      </c>
      <c r="R154" s="206">
        <f>INDEX($A$145:$H$158,MATCH($L154,$B$145:$B$158,0),MATCH($M$144,$A$145:$H$145,0))*고양시_Modal_split!H$3 * 0.01</f>
        <v>3.7398031781644518E-3</v>
      </c>
      <c r="S154" s="206">
        <f>INDEX($A$145:$H$158,MATCH($L154,$B$145:$B$158,0),MATCH($M$144,$A$145:$H$145,0))*고양시_Modal_split!I$3 * 0.01</f>
        <v>1.0396652835297175</v>
      </c>
      <c r="T154" s="206">
        <f>INDEX($A$145:$H$158,MATCH($L154,$B$145:$B$158,0),MATCH($M$144,$A$145:$H$145,0))*고양시_Modal_split!J$3 * 0.01</f>
        <v>11.383960874332592</v>
      </c>
      <c r="U154" s="206">
        <f>INDEX($A$145:$H$158,MATCH($L154,$B$145:$B$158,0),MATCH($M$144,$A$145:$H$145,0))*고양시_Modal_split!K$3 * 0.01</f>
        <v>5.6097047672466774E-2</v>
      </c>
      <c r="V154" s="206">
        <f>INDEX($A$145:$H$158,MATCH($L154,$B$145:$B$158,0),MATCH($M$144,$A$145:$H$145,0))*고양시_Modal_split!L$3 * 0.01</f>
        <v>1.1294205598056646</v>
      </c>
      <c r="W154" s="206">
        <f>INDEX($A$145:$H$158,MATCH($L154,$B$145:$B$158,0),MATCH($M$144,$A$145:$H$145,0))*고양시_Modal_split!M$3 * 0.01</f>
        <v>8.6015473097782388E-2</v>
      </c>
      <c r="X154" s="206">
        <f>INDEX($A$145:$H$158,MATCH($L154,$B$145:$B$158,0),MATCH($M$144,$A$145:$H$145,0))*고양시_Modal_split!N$3 * 0.01</f>
        <v>3.7398031781644525E-2</v>
      </c>
      <c r="Y154" s="206">
        <f>INDEX($A$145:$H$158,MATCH($L154,$B$145:$B$158,0),MATCH($M$144,$A$145:$H$145,0))*고양시_Modal_split!O$3 * 0.01</f>
        <v>6.731645720696014E-2</v>
      </c>
      <c r="Z154" s="209">
        <f>INDEX($A$145:$H$158,MATCH($L154,$B$145:$B$158,0),MATCH($M$144,$A$145:$H$145,0))*고양시_Modal_split!P$3 * 0.01</f>
        <v>37.398031781644519</v>
      </c>
      <c r="AA154" s="207">
        <f>INDEX($A$145:$H$158,MATCH($L154,$B$145:$B$158,0),MATCH($AA$144,$A$145:$H$145,0))*고양시_Modal_split!C$3 * 0.01</f>
        <v>0.75784017947893378</v>
      </c>
      <c r="AB154" s="207">
        <f>INDEX($A$145:$H$158,MATCH($L154,$B$145:$B$158,0),MATCH($AA$144,$A$145:$H$145,0))*고양시_Modal_split!D$3 * 0.01</f>
        <v>127.29008443176521</v>
      </c>
      <c r="AC154" s="207">
        <f>INDEX($A$145:$H$158,MATCH($L154,$B$145:$B$158,0),MATCH($AA$144,$A$145:$H$145,0))*고양시_Modal_split!E$3 * 0.01</f>
        <v>15.400395075839761</v>
      </c>
      <c r="AD154" s="207">
        <f>INDEX($A$145:$H$158,MATCH($L154,$B$145:$B$158,0),MATCH($AA$144,$A$145:$H$145,0))*고양시_Modal_split!F$3 * 0.01</f>
        <v>24.819265877935081</v>
      </c>
      <c r="AE154" s="207">
        <f>INDEX($A$145:$H$158,MATCH($L154,$B$145:$B$158,0),MATCH($AA$144,$A$145:$H$145,0))*고양시_Modal_split!G$3 * 0.01</f>
        <v>2.4900463040022109</v>
      </c>
      <c r="AF154" s="207">
        <f>INDEX($A$145:$H$158,MATCH($L154,$B$145:$B$158,0),MATCH($AA$144,$A$145:$H$145,0))*고양시_Modal_split!H$3 * 0.01</f>
        <v>2.7065720695676209E-2</v>
      </c>
      <c r="AG154" s="207">
        <f>INDEX($A$145:$H$158,MATCH($L154,$B$145:$B$158,0),MATCH($AA$144,$A$145:$H$145,0))*고양시_Modal_split!I$3 * 0.01</f>
        <v>7.5242703533979851</v>
      </c>
      <c r="AH154" s="207">
        <f>INDEX($A$145:$H$158,MATCH($L154,$B$145:$B$158,0),MATCH($AA$144,$A$145:$H$145,0))*고양시_Modal_split!J$3 * 0.01</f>
        <v>82.388053797638392</v>
      </c>
      <c r="AI154" s="207">
        <f>INDEX($A$145:$H$158,MATCH($L154,$B$145:$B$158,0),MATCH($AA$144,$A$145:$H$145,0))*고양시_Modal_split!K$3 * 0.01</f>
        <v>0.40598581043514309</v>
      </c>
      <c r="AJ154" s="207">
        <f>INDEX($A$145:$H$158,MATCH($L154,$B$145:$B$158,0),MATCH($AA$144,$A$145:$H$145,0))*고양시_Modal_split!L$3 * 0.01</f>
        <v>8.1738476500942152</v>
      </c>
      <c r="AK154" s="207">
        <f>INDEX($A$145:$H$158,MATCH($L154,$B$145:$B$158,0),MATCH($AA$144,$A$145:$H$145,0))*고양시_Modal_split!M$3 * 0.01</f>
        <v>0.62251157600055274</v>
      </c>
      <c r="AL154" s="207">
        <f>INDEX($A$145:$H$158,MATCH($L154,$B$145:$B$158,0),MATCH($AA$144,$A$145:$H$145,0))*고양시_Modal_split!N$3 * 0.01</f>
        <v>0.2706572069567621</v>
      </c>
      <c r="AM154" s="207">
        <f>INDEX($A$145:$H$158,MATCH($L154,$B$145:$B$158,0),MATCH($AA$144,$A$145:$H$145,0))*고양시_Modal_split!O$3 * 0.01</f>
        <v>0.48718297252217169</v>
      </c>
      <c r="AN154" s="207">
        <f>INDEX($A$145:$H$158,MATCH($L154,$B$145:$B$158,0),MATCH($AA$144,$A$145:$H$145,0))*고양시_Modal_split!P$3 * 0.01</f>
        <v>270.65720695676208</v>
      </c>
      <c r="AO154" s="303">
        <f>INDEX($A$145:$H$158,MATCH($L154,$B$145:$B$158,0),MATCH($AO$144,$A$145:$H$145,0))*고양시_Modal_split!C$3 * 0.01</f>
        <v>4.3475415284742511E-2</v>
      </c>
      <c r="AP154" s="303">
        <f>INDEX($A$145:$H$158,MATCH($L154,$B$145:$B$158,0),MATCH($AO$144,$A$145:$H$145,0))*고양시_Modal_split!D$3 * 0.01</f>
        <v>7.3023170744337156</v>
      </c>
      <c r="AQ154" s="303">
        <f>INDEX($A$145:$H$158,MATCH($L154,$B$145:$B$158,0),MATCH($AO$144,$A$145:$H$145,0))*고양시_Modal_split!E$3 * 0.01</f>
        <v>0.88348254632208878</v>
      </c>
      <c r="AR154" s="303">
        <f>INDEX($A$145:$H$158,MATCH($L154,$B$145:$B$158,0),MATCH($AO$144,$A$145:$H$145,0))*고양시_Modal_split!F$3 * 0.01</f>
        <v>1.4238198505753172</v>
      </c>
      <c r="AS154" s="303">
        <f>INDEX($A$145:$H$158,MATCH($L154,$B$145:$B$158,0),MATCH($AO$144,$A$145:$H$145,0))*고양시_Modal_split!G$3 * 0.01</f>
        <v>0.14284779307843967</v>
      </c>
      <c r="AT154" s="303">
        <f>INDEX($A$145:$H$158,MATCH($L154,$B$145:$B$158,0),MATCH($AO$144,$A$145:$H$145,0))*고양시_Modal_split!H$3 * 0.01</f>
        <v>1.5526934030265184E-3</v>
      </c>
      <c r="AU154" s="303">
        <f>INDEX($A$145:$H$158,MATCH($L154,$B$145:$B$158,0),MATCH($AO$144,$A$145:$H$145,0))*고양시_Modal_split!I$3 * 0.01</f>
        <v>0.43164876604137209</v>
      </c>
      <c r="AV154" s="303">
        <f>INDEX($A$145:$H$158,MATCH($L154,$B$145:$B$158,0),MATCH($AO$144,$A$145:$H$145,0))*고양시_Modal_split!J$3 * 0.01</f>
        <v>4.7263987188127219</v>
      </c>
      <c r="AW154" s="303">
        <f>INDEX($A$145:$H$158,MATCH($L154,$B$145:$B$158,0),MATCH($AO$144,$A$145:$H$145,0))*고양시_Modal_split!K$3 * 0.01</f>
        <v>2.3290401045397775E-2</v>
      </c>
      <c r="AX154" s="303">
        <f>INDEX($A$145:$H$158,MATCH($L154,$B$145:$B$158,0),MATCH($AO$144,$A$145:$H$145,0))*고양시_Modal_split!L$3 * 0.01</f>
        <v>0.46891340771400858</v>
      </c>
      <c r="AY154" s="303">
        <f>INDEX($A$145:$H$158,MATCH($L154,$B$145:$B$158,0),MATCH($AO$144,$A$145:$H$145,0))*고양시_Modal_split!M$3 * 0.01</f>
        <v>3.5711948269609918E-2</v>
      </c>
      <c r="AZ154" s="303">
        <f>INDEX($A$145:$H$158,MATCH($L154,$B$145:$B$158,0),MATCH($AO$144,$A$145:$H$145,0))*고양시_Modal_split!N$3 * 0.01</f>
        <v>1.5526934030265185E-2</v>
      </c>
      <c r="BA154" s="207">
        <f>INDEX($A$145:$H$158,MATCH($L154,$B$145:$B$158,0),MATCH($AO$144,$A$145:$H$145,0))*고양시_Modal_split!O$3 * 0.01</f>
        <v>2.7948481254477325E-2</v>
      </c>
      <c r="BB154" s="207">
        <f>INDEX($A$145:$H$158,MATCH($L154,$B$145:$B$158,0),MATCH($AO$144,$A$145:$H$145,0))*고양시_Modal_split!P$3 * 0.01</f>
        <v>15.526934030265183</v>
      </c>
      <c r="BC154" s="207">
        <f>INDEX($A$145:$H$158,MATCH($L154,$B$145:$B$158,0),MATCH($BC$144,$A$145:$H$145,0))*고양시_Modal_split!C$3 * 0.01</f>
        <v>6.8321763150459559E-5</v>
      </c>
      <c r="BD154" s="207">
        <f>INDEX($A$145:$H$158,MATCH($L154,$B$145:$B$158,0),MATCH($BC$144,$A$145:$H$145,0))*고양시_Modal_split!D$3 * 0.01</f>
        <v>1.1475616146307549E-2</v>
      </c>
      <c r="BE154" s="207">
        <f>INDEX($A$145:$H$158,MATCH($L154,$B$145:$B$158,0),MATCH($BC$144,$A$145:$H$145,0))*고양시_Modal_split!E$3 * 0.01</f>
        <v>1.3883958297361246E-3</v>
      </c>
      <c r="BF154" s="207">
        <f>INDEX($A$145:$H$158,MATCH($L154,$B$145:$B$158,0),MATCH($BC$144,$A$145:$H$145,0))*고양시_Modal_split!F$3 * 0.01</f>
        <v>2.2375377431775507E-3</v>
      </c>
      <c r="BG154" s="207">
        <f>INDEX($A$145:$H$158,MATCH($L154,$B$145:$B$158,0),MATCH($BC$144,$A$145:$H$145,0))*고양시_Modal_split!G$3 * 0.01</f>
        <v>2.2448579320865283E-4</v>
      </c>
      <c r="BH154" s="207">
        <f>INDEX($A$145:$H$158,MATCH($L154,$B$145:$B$158,0),MATCH($BC$144,$A$145:$H$145,0))*고양시_Modal_split!H$3 * 0.01</f>
        <v>2.4400629696592703E-6</v>
      </c>
      <c r="BI154" s="207">
        <f>INDEX($A$145:$H$158,MATCH($L154,$B$145:$B$158,0),MATCH($BC$144,$A$145:$H$145,0))*고양시_Modal_split!I$3 * 0.01</f>
        <v>6.7833750556527703E-4</v>
      </c>
      <c r="BJ154" s="207">
        <f>INDEX($A$145:$H$158,MATCH($L154,$B$145:$B$158,0),MATCH($BC$144,$A$145:$H$145,0))*고양시_Modal_split!J$3 * 0.01</f>
        <v>7.4275516796428187E-3</v>
      </c>
      <c r="BK154" s="207">
        <f>INDEX($A$145:$H$158,MATCH($L154,$B$145:$B$158,0),MATCH($BC$144,$A$145:$H$145,0))*고양시_Modal_split!K$3 * 0.01</f>
        <v>3.6600944544889049E-5</v>
      </c>
      <c r="BL154" s="207">
        <f>INDEX($A$145:$H$158,MATCH($L154,$B$145:$B$158,0),MATCH($BC$144,$A$145:$H$145,0))*고양시_Modal_split!L$3 * 0.01</f>
        <v>7.3689901683709948E-4</v>
      </c>
      <c r="BM154" s="207">
        <f>INDEX($A$145:$H$158,MATCH($L154,$B$145:$B$158,0),MATCH($BC$144,$A$145:$H$145,0))*고양시_Modal_split!M$3 * 0.01</f>
        <v>5.6121448302163207E-5</v>
      </c>
      <c r="BN154" s="207">
        <f>INDEX($A$145:$H$158,MATCH($L154,$B$145:$B$158,0),MATCH($BC$144,$A$145:$H$145,0))*고양시_Modal_split!N$3 * 0.01</f>
        <v>2.4400629696592704E-5</v>
      </c>
      <c r="BO154" s="207">
        <f>INDEX($A$145:$H$158,MATCH($L154,$B$145:$B$158,0),MATCH($BC$144,$A$145:$H$145,0))*고양시_Modal_split!O$3 * 0.01</f>
        <v>4.3921133453866862E-5</v>
      </c>
      <c r="BP154" s="207">
        <f>INDEX($A$145:$H$158,MATCH($L154,$B$145:$B$158,0),MATCH($BC$144,$A$145:$H$145,0))*고양시_Modal_split!P$3 * 0.01</f>
        <v>2.44006296965927E-2</v>
      </c>
      <c r="BQ154" s="207">
        <f>INDEX($A$145:$H$158,MATCH($L154,$B$145:$B$158,0),MATCH($BQ$144,$A$145:$H$145,0))*고양시_Modal_split!C$3 * 0.01</f>
        <v>2.581044385684037E-4</v>
      </c>
      <c r="BR154" s="207">
        <f>INDEX($A$145:$H$158,MATCH($L154,$B$145:$B$158,0),MATCH($BQ$144,$A$145:$H$145,0))*고양시_Modal_split!D$3 * 0.01</f>
        <v>4.3352327663828669E-2</v>
      </c>
      <c r="BS154" s="207">
        <f>INDEX($A$145:$H$158,MATCH($L154,$B$145:$B$158,0),MATCH($BQ$144,$A$145:$H$145,0))*고양시_Modal_split!E$3 * 0.01</f>
        <v>5.2450509123364887E-3</v>
      </c>
      <c r="BT154" s="207">
        <f>INDEX($A$145:$H$158,MATCH($L154,$B$145:$B$158,0),MATCH($BQ$144,$A$145:$H$145,0))*고양시_Modal_split!F$3 * 0.01</f>
        <v>8.4529203631152211E-3</v>
      </c>
      <c r="BU154" s="207">
        <f>INDEX($A$145:$H$158,MATCH($L154,$B$145:$B$158,0),MATCH($BQ$144,$A$145:$H$145,0))*고양시_Modal_split!G$3 * 0.01</f>
        <v>8.4805744101046929E-4</v>
      </c>
      <c r="BV154" s="207">
        <f>INDEX($A$145:$H$158,MATCH($L154,$B$145:$B$158,0),MATCH($BQ$144,$A$145:$H$145,0))*고양시_Modal_split!H$3 * 0.01</f>
        <v>9.2180156631572765E-6</v>
      </c>
      <c r="BW154" s="207">
        <f>INDEX($A$145:$H$158,MATCH($L154,$B$145:$B$158,0),MATCH($BQ$144,$A$145:$H$145,0))*고양시_Modal_split!I$3 * 0.01</f>
        <v>2.5626083543577221E-3</v>
      </c>
      <c r="BX154" s="207">
        <f>INDEX($A$145:$H$158,MATCH($L154,$B$145:$B$158,0),MATCH($BQ$144,$A$145:$H$145,0))*고양시_Modal_split!J$3 * 0.01</f>
        <v>2.8059639678650744E-2</v>
      </c>
      <c r="BY154" s="207">
        <f>INDEX($A$145:$H$158,MATCH($L154,$B$145:$B$158,0),MATCH($BQ$144,$A$145:$H$145,0))*고양시_Modal_split!K$3 * 0.01</f>
        <v>1.3827023494735914E-4</v>
      </c>
      <c r="BZ154" s="207">
        <f>INDEX($A$145:$H$158,MATCH($L154,$B$145:$B$158,0),MATCH($BQ$144,$A$145:$H$145,0))*고양시_Modal_split!L$3 * 0.01</f>
        <v>2.7838407302734967E-3</v>
      </c>
      <c r="CA154" s="207">
        <f>INDEX($A$145:$H$158,MATCH($L154,$B$145:$B$158,0),MATCH($BQ$144,$A$145:$H$145,0))*고양시_Modal_split!M$3 * 0.01</f>
        <v>2.1201436025261732E-4</v>
      </c>
      <c r="CB154" s="207">
        <f>INDEX($A$145:$H$158,MATCH($L154,$B$145:$B$158,0),MATCH($BQ$144,$A$145:$H$145,0))*고양시_Modal_split!N$3 * 0.01</f>
        <v>9.2180156631572758E-5</v>
      </c>
      <c r="CC154" s="207">
        <f>INDEX($A$145:$H$158,MATCH($L154,$B$145:$B$158,0),MATCH($BQ$144,$A$145:$H$145,0))*고양시_Modal_split!O$3 * 0.01</f>
        <v>1.6592428193683094E-4</v>
      </c>
      <c r="CD154" s="207">
        <f>INDEX($A$145:$H$158,MATCH($L154,$B$145:$B$158,0),MATCH($BQ$144,$A$145:$H$145,0))*고양시_Modal_split!P$3 * 0.01</f>
        <v>9.2180156631572738E-2</v>
      </c>
      <c r="CE154" s="304">
        <f t="shared" si="84"/>
        <v>0.90635650995399986</v>
      </c>
      <c r="CF154" s="304">
        <f t="shared" si="64"/>
        <v>152.23552379691648</v>
      </c>
      <c r="CG154" s="304">
        <f t="shared" si="65"/>
        <v>18.418459077279493</v>
      </c>
      <c r="CH154" s="304">
        <f t="shared" si="66"/>
        <v>29.683175700993495</v>
      </c>
      <c r="CI154" s="304">
        <f t="shared" si="67"/>
        <v>2.978028532705999</v>
      </c>
      <c r="CJ154" s="304">
        <f t="shared" si="68"/>
        <v>3.236987535549999E-2</v>
      </c>
      <c r="CK154" s="304">
        <f t="shared" si="69"/>
        <v>8.9988253488289978</v>
      </c>
      <c r="CL154" s="304">
        <f t="shared" si="70"/>
        <v>98.533900582141982</v>
      </c>
      <c r="CM154" s="304">
        <f t="shared" si="71"/>
        <v>0.48554813033249983</v>
      </c>
      <c r="CN154" s="304">
        <f t="shared" si="72"/>
        <v>9.7757023573610002</v>
      </c>
      <c r="CO154" s="304">
        <f t="shared" si="73"/>
        <v>0.74450713317649975</v>
      </c>
      <c r="CP154" s="304">
        <f t="shared" si="74"/>
        <v>0.323698753555</v>
      </c>
      <c r="CQ154" s="304">
        <f t="shared" si="75"/>
        <v>0.58265775639899986</v>
      </c>
      <c r="CR154" s="304">
        <f t="shared" si="76"/>
        <v>323.69875355499994</v>
      </c>
      <c r="CS154" s="305">
        <f t="shared" si="85"/>
        <v>0</v>
      </c>
      <c r="CV154" s="267"/>
      <c r="CW154" s="267" t="s">
        <v>303</v>
      </c>
      <c r="CX154" s="267">
        <f>INDEX($M$144:$Z$158,MATCH($CW154,$L$144:$L$158,0),MATCH(CX$145,$M$145:$Z$145,0))/INDEX(고양시_재차인원!$D$4:$H$35,MATCH("고양시",고양시_재차인원!$B$4:$B$35,0),MATCH($CX$144,고양시_재차인원!$D$4:$H$4,0))</f>
        <v>15.703834238310193</v>
      </c>
      <c r="CY154" s="267">
        <f>INDEX($M$144:$Z$158,MATCH($CW154,$L$144:$L$158,0),MATCH(CY$145,$M$145:$Z$145,0))/INDEX(고양시_재차인원!$K$4:$O$20,MATCH("경기도",고양시_재차인원!$K$4:$K$20,0),MATCH(CY$145,고양시_재차인원!$K$4:$O$4,0))</f>
        <v>1.2989938097132518E-4</v>
      </c>
      <c r="CZ154" s="267">
        <f>INDEX($M$144:$Z$158,MATCH($CW154,$L$144:$L$158,0),MATCH(CZ$145,$M$145:$Z$145,0))/INDEX(고양시_재차인원!$K$4:$O$20,MATCH("경기도",고양시_재차인원!$K$4:$K$20,0),MATCH(CZ$145,고양시_재차인원!$K$4:$O$4,0))</f>
        <v>3.6112027910028398E-2</v>
      </c>
      <c r="DA154" s="267">
        <f>INDEX($M$144:$Z$158,MATCH($CW154,$L$144:$L$158,0),MATCH(DA$145,$M$145:$Z$145,0))/INDEX(고양시_재차인원!$D$4:$H$35,MATCH("고양시",고양시_재차인원!$B$4:$B$35,0),MATCH($CX$144,고양시_재차인원!$D$4:$H$4,0))</f>
        <v>1.0084112141122004</v>
      </c>
      <c r="DB154" s="267">
        <f>INDEX($AA$144:$AN$158,MATCH($CW154,$L$144:$L$158,0),MATCH(DB$145,$AA$145:$AN$145,0))/INDEX(고양시_재차인원!$D$4:$H$35,MATCH("고양시",고양시_재차인원!$B$4:$B$35,0),MATCH($DB$144,고양시_재차인원!$D$4:$H$4,0))</f>
        <v>90.276655625365407</v>
      </c>
      <c r="DC154" s="267">
        <f>INDEX($AA$144:$AN$158,MATCH($CW154,$L$144:$L$158,0),MATCH(DC$145,$AA$145:$AN$145,0))/INDEX(고양시_재차인원!$K$4:$O$20,MATCH("경기도",고양시_재차인원!$K$4:$K$20,0),MATCH(DC$145,고양시_재차인원!$K$4:$O$4,0))</f>
        <v>9.4010839512595381E-4</v>
      </c>
      <c r="DD154" s="267">
        <f>INDEX($AA$144:$AN$158,MATCH($CW154,$L$144:$L$158,0),MATCH(DD$145,$AA$145:$AN$145,0))/INDEX(고양시_재차인원!$K$4:$O$20,MATCH("경기도",고양시_재차인원!$K$4:$K$20,0),MATCH(DD$145,고양시_재차인원!$K$4:$O$4,0))</f>
        <v>0.2613501338450151</v>
      </c>
      <c r="DE154" s="267">
        <f>INDEX($AA$144:$AN$158,MATCH($CW154,$L$144:$L$158,0),MATCH(DE$145,$AA$145:$AN$145,0))/INDEX(고양시_재차인원!$D$4:$H$35,MATCH("고양시",고양시_재차인원!$B$4:$B$35,0),MATCH($DB$144,고양시_재차인원!$D$4:$H$4,0))</f>
        <v>5.7970550709888053</v>
      </c>
      <c r="DF154" s="267">
        <f>INDEX($AO$144:$BB$158,MATCH($CW154,$L$144:$L$158,0),MATCH(DF$145,$AO$145:$BB$145,0))/INDEX(고양시_재차인원!$D$4:$H$35,MATCH("고양시",고양시_재차인원!$B$4:$B$35,0),MATCH($DF$144,고양시_재차인원!$D$4:$H$4,0))</f>
        <v>5.6171669803336268</v>
      </c>
      <c r="DG154" s="267">
        <f>INDEX($AO$144:$BB$158,MATCH($CW154,$L$144:$L$158,0),MATCH(DG$145,$AO$145:$BB$145,0))/INDEX(고양시_재차인원!$K$4:$O$20,MATCH("경기도",고양시_재차인원!$K$4:$K$20,0),MATCH(DG$145,고양시_재차인원!$K$4:$O$4,0))</f>
        <v>5.3931691664693242E-5</v>
      </c>
      <c r="DH154" s="267">
        <f>INDEX($AO$144:$BB$158,MATCH($CW154,$L$144:$L$158,0),MATCH(DH$145,$AO$145:$BB$145,0))/INDEX(고양시_재차인원!$K$4:$O$20,MATCH("경기도",고양시_재차인원!$K$4:$K$20,0),MATCH(DH$145,고양시_재차인원!$K$4:$O$4,0))</f>
        <v>1.499301028278472E-2</v>
      </c>
      <c r="DI154" s="267">
        <f>INDEX($AO$144:$BB$158,MATCH($CW154,$L$144:$L$158,0),MATCH(DI$145,$AO$145:$BB$145,0))/INDEX(고양시_재차인원!$D$4:$H$35,MATCH("고양시",고양시_재차인원!$B$4:$B$35,0),MATCH($DF$144,고양시_재차인원!$D$4:$H$4,0))</f>
        <v>0.36070262131846814</v>
      </c>
      <c r="DJ154" s="267">
        <f>INDEX($BC$144:$BP$158,MATCH($CW154,$L$144:$L$158,0),MATCH(DJ$145,$BC$145:$BP$145,0))/INDEX(고양시_재차인원!$D$4:$H$35,MATCH("고양시",고양시_재차인원!$B$4:$B$35,0),MATCH($DJ$144,고양시_재차인원!$D$4:$H$4,0))</f>
        <v>8.4379530487555497E-3</v>
      </c>
      <c r="DK154" s="267">
        <f>INDEX($BC$144:$BP$158,MATCH($CW154,$L$144:$L$158,0),MATCH(DK$145,$BC$145:$BP$145,0))/INDEX(고양시_재차인원!$K$4:$O$20,MATCH("경기도",고양시_재차인원!$K$4:$K$20,0),MATCH(DK$145,고양시_재차인원!$K$4:$O$4,0))</f>
        <v>8.4753837084378957E-8</v>
      </c>
      <c r="DL154" s="267">
        <f>INDEX($BC$144:$BP$158,MATCH($CW154,$L$144:$L$158,0),MATCH(DL$145,$BC$145:$BP$145,0))/INDEX(고양시_재차인원!$K$4:$O$20,MATCH("경기도",고양시_재차인원!$K$4:$K$20,0),MATCH(DL$145,고양시_재차인원!$K$4:$O$4,0))</f>
        <v>2.356156670945735E-5</v>
      </c>
      <c r="DM154" s="267">
        <f>INDEX($BC$144:$BP$158,MATCH($CW154,$L$144:$L$158,0),MATCH(DM$145,$BC$145:$BP$145,0))/INDEX(고양시_재차인원!$D$4:$H$35,MATCH("고양시",고양시_재차인원!$B$4:$B$35,0),MATCH($DJ$144,고양시_재차인원!$D$4:$H$4,0))</f>
        <v>5.4183751238022016E-4</v>
      </c>
      <c r="DN154" s="267">
        <f>INDEX($BQ$144:$CD$158,MATCH($CW154,$L$144:$L$158,0),MATCH(DN$145,$BQ$145:$CD$145,0))/INDEX(고양시_재차인원!$D$4:$H$35,MATCH("고양시",고양시_재차인원!$B$4:$B$35,0),MATCH($DN$144,고양시_재차인원!$D$4:$H$4,0))</f>
        <v>3.4406609257006879E-2</v>
      </c>
      <c r="DO154" s="267">
        <f>INDEX($BQ$144:$CD$158,MATCH($CW154,$L$144:$L$158,0),MATCH(DO$145,$BQ$145:$CD$145,0))/INDEX(고양시_재차인원!$K$4:$O$20,MATCH("경기도",고양시_재차인원!$K$4:$K$20,0),MATCH(DO$145,고양시_재차인원!$K$4:$O$4,0))</f>
        <v>3.2018116231876611E-7</v>
      </c>
      <c r="DP154" s="267">
        <f>INDEX($BQ$144:$CD$158,MATCH($CW154,$L$144:$L$158,0),MATCH(DP$145,$BQ$145:$CD$145,0))/INDEX(고양시_재차인원!$K$4:$O$20,MATCH("경기도",고양시_재차인원!$K$4:$K$20,0),MATCH(DP$145,고양시_재차인원!$K$4:$O$4,0))</f>
        <v>8.9010363124616954E-5</v>
      </c>
      <c r="DQ154" s="267">
        <f>INDEX($BQ$144:$CD$158,MATCH($CW154,$L$144:$L$158,0),MATCH(DQ$145,$BQ$145:$CD$145,0))/INDEX(고양시_재차인원!$D$4:$H$35,MATCH("고양시",고양시_재차인원!$B$4:$B$35,0),MATCH($DN$144,고양시_재차인원!$D$4:$H$4,0))</f>
        <v>2.2093974049789658E-3</v>
      </c>
      <c r="DR154" s="270">
        <f t="shared" si="86"/>
        <v>111.64050140631498</v>
      </c>
      <c r="DS154" s="270">
        <f t="shared" si="77"/>
        <v>1.1243444027613752E-3</v>
      </c>
      <c r="DT154" s="270">
        <f t="shared" si="78"/>
        <v>0.31256774396766229</v>
      </c>
      <c r="DU154" s="270">
        <f t="shared" si="79"/>
        <v>7.1689201413368338</v>
      </c>
      <c r="DW154" s="278"/>
      <c r="DX154" s="278" t="s">
        <v>303</v>
      </c>
      <c r="DY154" s="281">
        <f t="shared" si="87"/>
        <v>118.80942154765182</v>
      </c>
      <c r="DZ154" s="281">
        <f t="shared" si="88"/>
        <v>0.31369208837042367</v>
      </c>
      <c r="EB154" s="278"/>
      <c r="EC154" s="278" t="s">
        <v>303</v>
      </c>
      <c r="ED154" s="281">
        <f t="shared" si="89"/>
        <v>118.80942154765182</v>
      </c>
      <c r="EE154" s="281">
        <f t="shared" si="80"/>
        <v>0.31369208837042367</v>
      </c>
      <c r="EL154" s="306" t="s">
        <v>668</v>
      </c>
      <c r="EM154" s="306" t="s">
        <v>76</v>
      </c>
      <c r="EN154" s="306">
        <v>25868.347099999999</v>
      </c>
      <c r="EO154" s="306">
        <v>0.13929345213562067</v>
      </c>
      <c r="EP154" s="307">
        <v>849109</v>
      </c>
      <c r="EQ154" s="308">
        <f t="shared" si="90"/>
        <v>632.93859704254407</v>
      </c>
      <c r="ER154" s="308">
        <f t="shared" si="91"/>
        <v>1.6711455011746568</v>
      </c>
      <c r="ET154" s="420" t="s">
        <v>668</v>
      </c>
      <c r="EU154" s="420" t="s">
        <v>76</v>
      </c>
      <c r="EV154" s="420">
        <v>25868.347099999999</v>
      </c>
      <c r="EW154" s="420">
        <v>0.13929345213562067</v>
      </c>
      <c r="EX154" s="421">
        <v>849109</v>
      </c>
      <c r="EY154" s="422">
        <f t="shared" si="92"/>
        <v>614.89984702683159</v>
      </c>
      <c r="EZ154" s="422">
        <f t="shared" si="81"/>
        <v>1.623517854391179</v>
      </c>
      <c r="FA154">
        <v>0</v>
      </c>
      <c r="FD154" s="306" t="s">
        <v>668</v>
      </c>
      <c r="FE154" s="306" t="s">
        <v>76</v>
      </c>
      <c r="FF154" s="306">
        <v>25868.347099999999</v>
      </c>
      <c r="FG154" s="306">
        <v>0.13929345213562067</v>
      </c>
      <c r="FH154" s="307">
        <v>849109</v>
      </c>
      <c r="FI154" s="308">
        <f t="shared" si="82"/>
        <v>614.89984702683159</v>
      </c>
      <c r="FJ154" s="308">
        <f t="shared" si="83"/>
        <v>1.623517854391179</v>
      </c>
      <c r="FL154" s="101"/>
      <c r="FM154" s="101"/>
      <c r="FN154" s="101"/>
      <c r="FO154" s="101"/>
      <c r="FP154" s="374"/>
      <c r="FQ154" s="404"/>
      <c r="FR154" s="404"/>
    </row>
    <row r="155" spans="1:174">
      <c r="A155" s="205"/>
      <c r="B155" s="205" t="s">
        <v>304</v>
      </c>
      <c r="C155" s="400">
        <f>$AB70*KTDB_TripDistribution_2025!T$12 * (1+KTDB_발생량도착량_증가율!$C$7*2)</f>
        <v>3.4502302796904329</v>
      </c>
      <c r="D155" s="400">
        <f>$AB70*KTDB_TripDistribution_2025!U$12 * (1+KTDB_발생량도착량_증가율!$C$7*2)</f>
        <v>24.97002238810326</v>
      </c>
      <c r="E155" s="400">
        <f>$AB70*KTDB_TripDistribution_2025!V$12 * (1+KTDB_발생량도착량_증가율!$C$7*2)</f>
        <v>1.4324683784099677</v>
      </c>
      <c r="F155" s="400">
        <f>$AB70*KTDB_TripDistribution_2025!W$12 * (1+KTDB_발생량도착량_증가율!$C$7*2)</f>
        <v>2.2511289341172838E-3</v>
      </c>
      <c r="G155" s="400">
        <f>$AB70*KTDB_TripDistribution_2025!X$12 * (1+KTDB_발생량도착량_증가율!$C$7*2)</f>
        <v>8.5042648622208807E-3</v>
      </c>
      <c r="H155" s="400">
        <f>$AB70*KTDB_TripDistribution_2025!Y$12 * (1+KTDB_발생량도착량_증가율!$C$7*2)</f>
        <v>29.863476440000007</v>
      </c>
      <c r="I155" s="56"/>
      <c r="J155" s="56"/>
      <c r="K155" s="206"/>
      <c r="L155" s="206" t="s">
        <v>304</v>
      </c>
      <c r="M155" s="206">
        <f>INDEX($A$145:$H$158,MATCH($L155,$B$145:$B$158,0),MATCH($M$144,$A$145:$H$145,0))*고양시_Modal_split!C$3 * 0.01</f>
        <v>9.6606447831332105E-3</v>
      </c>
      <c r="N155" s="206">
        <f>INDEX($A$145:$H$158,MATCH($L155,$B$145:$B$158,0),MATCH($M$144,$A$145:$H$145,0))*고양시_Modal_split!D$3 * 0.01</f>
        <v>1.6226433005384107</v>
      </c>
      <c r="O155" s="206">
        <f>INDEX($A$145:$H$158,MATCH($L155,$B$145:$B$158,0),MATCH($M$144,$A$145:$H$145,0))*고양시_Modal_split!E$3 * 0.01</f>
        <v>0.19631810291438562</v>
      </c>
      <c r="P155" s="206">
        <f>INDEX($A$145:$H$158,MATCH($L155,$B$145:$B$158,0),MATCH($M$144,$A$145:$H$145,0))*고양시_Modal_split!F$3 * 0.01</f>
        <v>0.31638611664761274</v>
      </c>
      <c r="Q155" s="206">
        <f>INDEX($A$145:$H$158,MATCH($L155,$B$145:$B$158,0),MATCH($M$144,$A$145:$H$145,0))*고양시_Modal_split!G$3 * 0.01</f>
        <v>3.1742118573151984E-2</v>
      </c>
      <c r="R155" s="206">
        <f>INDEX($A$145:$H$158,MATCH($L155,$B$145:$B$158,0),MATCH($M$144,$A$145:$H$145,0))*고양시_Modal_split!H$3 * 0.01</f>
        <v>3.4502302796904333E-4</v>
      </c>
      <c r="S155" s="206">
        <f>INDEX($A$145:$H$158,MATCH($L155,$B$145:$B$158,0),MATCH($M$144,$A$145:$H$145,0))*고양시_Modal_split!I$3 * 0.01</f>
        <v>9.5916401775394039E-2</v>
      </c>
      <c r="T155" s="206">
        <f>INDEX($A$145:$H$158,MATCH($L155,$B$145:$B$158,0),MATCH($M$144,$A$145:$H$145,0))*고양시_Modal_split!J$3 * 0.01</f>
        <v>1.0502500971377677</v>
      </c>
      <c r="U155" s="206">
        <f>INDEX($A$145:$H$158,MATCH($L155,$B$145:$B$158,0),MATCH($M$144,$A$145:$H$145,0))*고양시_Modal_split!K$3 * 0.01</f>
        <v>5.1753454195356497E-3</v>
      </c>
      <c r="V155" s="206">
        <f>INDEX($A$145:$H$158,MATCH($L155,$B$145:$B$158,0),MATCH($M$144,$A$145:$H$145,0))*고양시_Modal_split!L$3 * 0.01</f>
        <v>0.10419695444665107</v>
      </c>
      <c r="W155" s="206">
        <f>INDEX($A$145:$H$158,MATCH($L155,$B$145:$B$158,0),MATCH($M$144,$A$145:$H$145,0))*고양시_Modal_split!M$3 * 0.01</f>
        <v>7.935529643287996E-3</v>
      </c>
      <c r="X155" s="206">
        <f>INDEX($A$145:$H$158,MATCH($L155,$B$145:$B$158,0),MATCH($M$144,$A$145:$H$145,0))*고양시_Modal_split!N$3 * 0.01</f>
        <v>3.4502302796904335E-3</v>
      </c>
      <c r="Y155" s="206">
        <f>INDEX($A$145:$H$158,MATCH($L155,$B$145:$B$158,0),MATCH($M$144,$A$145:$H$145,0))*고양시_Modal_split!O$3 * 0.01</f>
        <v>6.2104145034427797E-3</v>
      </c>
      <c r="Z155" s="209">
        <f>INDEX($A$145:$H$158,MATCH($L155,$B$145:$B$158,0),MATCH($M$144,$A$145:$H$145,0))*고양시_Modal_split!P$3 * 0.01</f>
        <v>3.4502302796904334</v>
      </c>
      <c r="AA155" s="207">
        <f>INDEX($A$145:$H$158,MATCH($L155,$B$145:$B$158,0),MATCH($AA$144,$A$145:$H$145,0))*고양시_Modal_split!C$3 * 0.01</f>
        <v>6.9916062686689123E-2</v>
      </c>
      <c r="AB155" s="207">
        <f>INDEX($A$145:$H$158,MATCH($L155,$B$145:$B$158,0),MATCH($AA$144,$A$145:$H$145,0))*고양시_Modal_split!D$3 * 0.01</f>
        <v>11.743401529124963</v>
      </c>
      <c r="AC155" s="207">
        <f>INDEX($A$145:$H$158,MATCH($L155,$B$145:$B$158,0),MATCH($AA$144,$A$145:$H$145,0))*고양시_Modal_split!E$3 * 0.01</f>
        <v>1.4207942738830754</v>
      </c>
      <c r="AD155" s="207">
        <f>INDEX($A$145:$H$158,MATCH($L155,$B$145:$B$158,0),MATCH($AA$144,$A$145:$H$145,0))*고양시_Modal_split!F$3 * 0.01</f>
        <v>2.289751052989069</v>
      </c>
      <c r="AE155" s="207">
        <f>INDEX($A$145:$H$158,MATCH($L155,$B$145:$B$158,0),MATCH($AA$144,$A$145:$H$145,0))*고양시_Modal_split!G$3 * 0.01</f>
        <v>0.22972420597054999</v>
      </c>
      <c r="AF155" s="207">
        <f>INDEX($A$145:$H$158,MATCH($L155,$B$145:$B$158,0),MATCH($AA$144,$A$145:$H$145,0))*고양시_Modal_split!H$3 * 0.01</f>
        <v>2.497002238810326E-3</v>
      </c>
      <c r="AG155" s="207">
        <f>INDEX($A$145:$H$158,MATCH($L155,$B$145:$B$158,0),MATCH($AA$144,$A$145:$H$145,0))*고양시_Modal_split!I$3 * 0.01</f>
        <v>0.69416662238927063</v>
      </c>
      <c r="AH155" s="207">
        <f>INDEX($A$145:$H$158,MATCH($L155,$B$145:$B$158,0),MATCH($AA$144,$A$145:$H$145,0))*고양시_Modal_split!J$3 * 0.01</f>
        <v>7.6008748149386332</v>
      </c>
      <c r="AI155" s="207">
        <f>INDEX($A$145:$H$158,MATCH($L155,$B$145:$B$158,0),MATCH($AA$144,$A$145:$H$145,0))*고양시_Modal_split!K$3 * 0.01</f>
        <v>3.7455033582154885E-2</v>
      </c>
      <c r="AJ155" s="207">
        <f>INDEX($A$145:$H$158,MATCH($L155,$B$145:$B$158,0),MATCH($AA$144,$A$145:$H$145,0))*고양시_Modal_split!L$3 * 0.01</f>
        <v>0.75409467612071857</v>
      </c>
      <c r="AK155" s="207">
        <f>INDEX($A$145:$H$158,MATCH($L155,$B$145:$B$158,0),MATCH($AA$144,$A$145:$H$145,0))*고양시_Modal_split!M$3 * 0.01</f>
        <v>5.7431051492637497E-2</v>
      </c>
      <c r="AL155" s="207">
        <f>INDEX($A$145:$H$158,MATCH($L155,$B$145:$B$158,0),MATCH($AA$144,$A$145:$H$145,0))*고양시_Modal_split!N$3 * 0.01</f>
        <v>2.4970022388103263E-2</v>
      </c>
      <c r="AM155" s="207">
        <f>INDEX($A$145:$H$158,MATCH($L155,$B$145:$B$158,0),MATCH($AA$144,$A$145:$H$145,0))*고양시_Modal_split!O$3 * 0.01</f>
        <v>4.4946040298585864E-2</v>
      </c>
      <c r="AN155" s="207">
        <f>INDEX($A$145:$H$158,MATCH($L155,$B$145:$B$158,0),MATCH($AA$144,$A$145:$H$145,0))*고양시_Modal_split!P$3 * 0.01</f>
        <v>24.970022388103263</v>
      </c>
      <c r="AO155" s="303">
        <f>INDEX($A$145:$H$158,MATCH($L155,$B$145:$B$158,0),MATCH($AO$144,$A$145:$H$145,0))*고양시_Modal_split!C$3 * 0.01</f>
        <v>4.0109114595479091E-3</v>
      </c>
      <c r="AP155" s="303">
        <f>INDEX($A$145:$H$158,MATCH($L155,$B$145:$B$158,0),MATCH($AO$144,$A$145:$H$145,0))*고양시_Modal_split!D$3 * 0.01</f>
        <v>0.67368987836620775</v>
      </c>
      <c r="AQ155" s="303">
        <f>INDEX($A$145:$H$158,MATCH($L155,$B$145:$B$158,0),MATCH($AO$144,$A$145:$H$145,0))*고양시_Modal_split!E$3 * 0.01</f>
        <v>8.1507450731527153E-2</v>
      </c>
      <c r="AR155" s="303">
        <f>INDEX($A$145:$H$158,MATCH($L155,$B$145:$B$158,0),MATCH($AO$144,$A$145:$H$145,0))*고양시_Modal_split!F$3 * 0.01</f>
        <v>0.13135735030019402</v>
      </c>
      <c r="AS155" s="303">
        <f>INDEX($A$145:$H$158,MATCH($L155,$B$145:$B$158,0),MATCH($AO$144,$A$145:$H$145,0))*고양시_Modal_split!G$3 * 0.01</f>
        <v>1.3178709081371703E-2</v>
      </c>
      <c r="AT155" s="303">
        <f>INDEX($A$145:$H$158,MATCH($L155,$B$145:$B$158,0),MATCH($AO$144,$A$145:$H$145,0))*고양시_Modal_split!H$3 * 0.01</f>
        <v>1.4324683784099678E-4</v>
      </c>
      <c r="AU155" s="303">
        <f>INDEX($A$145:$H$158,MATCH($L155,$B$145:$B$158,0),MATCH($AO$144,$A$145:$H$145,0))*고양시_Modal_split!I$3 * 0.01</f>
        <v>3.9822620919797096E-2</v>
      </c>
      <c r="AV155" s="303">
        <f>INDEX($A$145:$H$158,MATCH($L155,$B$145:$B$158,0),MATCH($AO$144,$A$145:$H$145,0))*고양시_Modal_split!J$3 * 0.01</f>
        <v>0.43604337438799418</v>
      </c>
      <c r="AW155" s="303">
        <f>INDEX($A$145:$H$158,MATCH($L155,$B$145:$B$158,0),MATCH($AO$144,$A$145:$H$145,0))*고양시_Modal_split!K$3 * 0.01</f>
        <v>2.1487025676149517E-3</v>
      </c>
      <c r="AX155" s="303">
        <f>INDEX($A$145:$H$158,MATCH($L155,$B$145:$B$158,0),MATCH($AO$144,$A$145:$H$145,0))*고양시_Modal_split!L$3 * 0.01</f>
        <v>4.3260545027981032E-2</v>
      </c>
      <c r="AY155" s="303">
        <f>INDEX($A$145:$H$158,MATCH($L155,$B$145:$B$158,0),MATCH($AO$144,$A$145:$H$145,0))*고양시_Modal_split!M$3 * 0.01</f>
        <v>3.2946772703429258E-3</v>
      </c>
      <c r="AZ155" s="303">
        <f>INDEX($A$145:$H$158,MATCH($L155,$B$145:$B$158,0),MATCH($AO$144,$A$145:$H$145,0))*고양시_Modal_split!N$3 * 0.01</f>
        <v>1.4324683784099675E-3</v>
      </c>
      <c r="BA155" s="207">
        <f>INDEX($A$145:$H$158,MATCH($L155,$B$145:$B$158,0),MATCH($AO$144,$A$145:$H$145,0))*고양시_Modal_split!O$3 * 0.01</f>
        <v>2.5784430811379416E-3</v>
      </c>
      <c r="BB155" s="207">
        <f>INDEX($A$145:$H$158,MATCH($L155,$B$145:$B$158,0),MATCH($AO$144,$A$145:$H$145,0))*고양시_Modal_split!P$3 * 0.01</f>
        <v>1.4324683784099677</v>
      </c>
      <c r="BC155" s="207">
        <f>INDEX($A$145:$H$158,MATCH($L155,$B$145:$B$158,0),MATCH($BC$144,$A$145:$H$145,0))*고양시_Modal_split!C$3 * 0.01</f>
        <v>6.3031610155283942E-6</v>
      </c>
      <c r="BD155" s="207">
        <f>INDEX($A$145:$H$158,MATCH($L155,$B$145:$B$158,0),MATCH($BC$144,$A$145:$H$145,0))*고양시_Modal_split!D$3 * 0.01</f>
        <v>1.0587059377153585E-3</v>
      </c>
      <c r="BE155" s="207">
        <f>INDEX($A$145:$H$158,MATCH($L155,$B$145:$B$158,0),MATCH($BC$144,$A$145:$H$145,0))*고양시_Modal_split!E$3 * 0.01</f>
        <v>1.2808923635127342E-4</v>
      </c>
      <c r="BF155" s="207">
        <f>INDEX($A$145:$H$158,MATCH($L155,$B$145:$B$158,0),MATCH($BC$144,$A$145:$H$145,0))*고양시_Modal_split!F$3 * 0.01</f>
        <v>2.0642852325855493E-4</v>
      </c>
      <c r="BG155" s="207">
        <f>INDEX($A$145:$H$158,MATCH($L155,$B$145:$B$158,0),MATCH($BC$144,$A$145:$H$145,0))*고양시_Modal_split!G$3 * 0.01</f>
        <v>2.071038619387901E-5</v>
      </c>
      <c r="BH155" s="207">
        <f>INDEX($A$145:$H$158,MATCH($L155,$B$145:$B$158,0),MATCH($BC$144,$A$145:$H$145,0))*고양시_Modal_split!H$3 * 0.01</f>
        <v>2.2511289341172839E-7</v>
      </c>
      <c r="BI155" s="207">
        <f>INDEX($A$145:$H$158,MATCH($L155,$B$145:$B$158,0),MATCH($BC$144,$A$145:$H$145,0))*고양시_Modal_split!I$3 * 0.01</f>
        <v>6.2581384368460484E-5</v>
      </c>
      <c r="BJ155" s="207">
        <f>INDEX($A$145:$H$158,MATCH($L155,$B$145:$B$158,0),MATCH($BC$144,$A$145:$H$145,0))*고양시_Modal_split!J$3 * 0.01</f>
        <v>6.8524364754530122E-4</v>
      </c>
      <c r="BK155" s="207">
        <f>INDEX($A$145:$H$158,MATCH($L155,$B$145:$B$158,0),MATCH($BC$144,$A$145:$H$145,0))*고양시_Modal_split!K$3 * 0.01</f>
        <v>3.3766934011759252E-6</v>
      </c>
      <c r="BL155" s="207">
        <f>INDEX($A$145:$H$158,MATCH($L155,$B$145:$B$158,0),MATCH($BC$144,$A$145:$H$145,0))*고양시_Modal_split!L$3 * 0.01</f>
        <v>6.7984093810341973E-5</v>
      </c>
      <c r="BM155" s="207">
        <f>INDEX($A$145:$H$158,MATCH($L155,$B$145:$B$158,0),MATCH($BC$144,$A$145:$H$145,0))*고양시_Modal_split!M$3 * 0.01</f>
        <v>5.1775965484697526E-6</v>
      </c>
      <c r="BN155" s="207">
        <f>INDEX($A$145:$H$158,MATCH($L155,$B$145:$B$158,0),MATCH($BC$144,$A$145:$H$145,0))*고양시_Modal_split!N$3 * 0.01</f>
        <v>2.2511289341172841E-6</v>
      </c>
      <c r="BO155" s="207">
        <f>INDEX($A$145:$H$158,MATCH($L155,$B$145:$B$158,0),MATCH($BC$144,$A$145:$H$145,0))*고양시_Modal_split!O$3 * 0.01</f>
        <v>4.0520320814111101E-6</v>
      </c>
      <c r="BP155" s="207">
        <f>INDEX($A$145:$H$158,MATCH($L155,$B$145:$B$158,0),MATCH($BC$144,$A$145:$H$145,0))*고양시_Modal_split!P$3 * 0.01</f>
        <v>2.2511289341172838E-3</v>
      </c>
      <c r="BQ155" s="207">
        <f>INDEX($A$145:$H$158,MATCH($L155,$B$145:$B$158,0),MATCH($BQ$144,$A$145:$H$145,0))*고양시_Modal_split!C$3 * 0.01</f>
        <v>2.3811941614218464E-5</v>
      </c>
      <c r="BR155" s="207">
        <f>INDEX($A$145:$H$158,MATCH($L155,$B$145:$B$158,0),MATCH($BQ$144,$A$145:$H$145,0))*고양시_Modal_split!D$3 * 0.01</f>
        <v>3.9995557647024803E-3</v>
      </c>
      <c r="BS155" s="207">
        <f>INDEX($A$145:$H$158,MATCH($L155,$B$145:$B$158,0),MATCH($BQ$144,$A$145:$H$145,0))*고양시_Modal_split!E$3 * 0.01</f>
        <v>4.838926706603681E-4</v>
      </c>
      <c r="BT155" s="207">
        <f>INDEX($A$145:$H$158,MATCH($L155,$B$145:$B$158,0),MATCH($BQ$144,$A$145:$H$145,0))*고양시_Modal_split!F$3 * 0.01</f>
        <v>7.7984108786565472E-4</v>
      </c>
      <c r="BU155" s="207">
        <f>INDEX($A$145:$H$158,MATCH($L155,$B$145:$B$158,0),MATCH($BQ$144,$A$145:$H$145,0))*고양시_Modal_split!G$3 * 0.01</f>
        <v>7.82392367324321E-5</v>
      </c>
      <c r="BV155" s="207">
        <f>INDEX($A$145:$H$158,MATCH($L155,$B$145:$B$158,0),MATCH($BQ$144,$A$145:$H$145,0))*고양시_Modal_split!H$3 * 0.01</f>
        <v>8.50426486222088E-7</v>
      </c>
      <c r="BW155" s="207">
        <f>INDEX($A$145:$H$158,MATCH($L155,$B$145:$B$158,0),MATCH($BQ$144,$A$145:$H$145,0))*고양시_Modal_split!I$3 * 0.01</f>
        <v>2.3641856316974048E-4</v>
      </c>
      <c r="BX155" s="207">
        <f>INDEX($A$145:$H$158,MATCH($L155,$B$145:$B$158,0),MATCH($BQ$144,$A$145:$H$145,0))*고양시_Modal_split!J$3 * 0.01</f>
        <v>2.5886982240600365E-3</v>
      </c>
      <c r="BY155" s="207">
        <f>INDEX($A$145:$H$158,MATCH($L155,$B$145:$B$158,0),MATCH($BQ$144,$A$145:$H$145,0))*고양시_Modal_split!K$3 * 0.01</f>
        <v>1.2756397293331322E-5</v>
      </c>
      <c r="BZ155" s="207">
        <f>INDEX($A$145:$H$158,MATCH($L155,$B$145:$B$158,0),MATCH($BQ$144,$A$145:$H$145,0))*고양시_Modal_split!L$3 * 0.01</f>
        <v>2.5682879883907059E-4</v>
      </c>
      <c r="CA155" s="207">
        <f>INDEX($A$145:$H$158,MATCH($L155,$B$145:$B$158,0),MATCH($BQ$144,$A$145:$H$145,0))*고양시_Modal_split!M$3 * 0.01</f>
        <v>1.9559809183108025E-5</v>
      </c>
      <c r="CB155" s="207">
        <f>INDEX($A$145:$H$158,MATCH($L155,$B$145:$B$158,0),MATCH($BQ$144,$A$145:$H$145,0))*고양시_Modal_split!N$3 * 0.01</f>
        <v>8.5042648622208823E-6</v>
      </c>
      <c r="CC155" s="207">
        <f>INDEX($A$145:$H$158,MATCH($L155,$B$145:$B$158,0),MATCH($BQ$144,$A$145:$H$145,0))*고양시_Modal_split!O$3 * 0.01</f>
        <v>1.5307676751997585E-5</v>
      </c>
      <c r="CD155" s="207">
        <f>INDEX($A$145:$H$158,MATCH($L155,$B$145:$B$158,0),MATCH($BQ$144,$A$145:$H$145,0))*고양시_Modal_split!P$3 * 0.01</f>
        <v>8.5042648622208807E-3</v>
      </c>
      <c r="CE155" s="304">
        <f t="shared" si="84"/>
        <v>8.3617734031999985E-2</v>
      </c>
      <c r="CF155" s="304">
        <f t="shared" si="64"/>
        <v>14.044792969731999</v>
      </c>
      <c r="CG155" s="304">
        <f t="shared" si="65"/>
        <v>1.6992318094359999</v>
      </c>
      <c r="CH155" s="304">
        <f t="shared" si="66"/>
        <v>2.7384807895480003</v>
      </c>
      <c r="CI155" s="304">
        <f t="shared" si="67"/>
        <v>0.27474398324800003</v>
      </c>
      <c r="CJ155" s="304">
        <f t="shared" si="68"/>
        <v>2.9863476439999995E-3</v>
      </c>
      <c r="CK155" s="304">
        <f t="shared" si="69"/>
        <v>0.83020464503199987</v>
      </c>
      <c r="CL155" s="304">
        <f t="shared" si="70"/>
        <v>9.0904422283360002</v>
      </c>
      <c r="CM155" s="304">
        <f t="shared" si="71"/>
        <v>4.4795214659999992E-2</v>
      </c>
      <c r="CN155" s="304">
        <f t="shared" si="72"/>
        <v>0.90187698848800013</v>
      </c>
      <c r="CO155" s="304">
        <f t="shared" si="73"/>
        <v>6.8685995812000009E-2</v>
      </c>
      <c r="CP155" s="304">
        <f t="shared" si="74"/>
        <v>2.9863476440000005E-2</v>
      </c>
      <c r="CQ155" s="304">
        <f t="shared" si="75"/>
        <v>5.3754257591999997E-2</v>
      </c>
      <c r="CR155" s="304">
        <f t="shared" si="76"/>
        <v>29.863476440000003</v>
      </c>
      <c r="CS155" s="305">
        <f t="shared" si="85"/>
        <v>0</v>
      </c>
      <c r="CV155" s="267"/>
      <c r="CW155" s="267" t="s">
        <v>304</v>
      </c>
      <c r="CX155" s="267">
        <f>INDEX($M$144:$Z$158,MATCH($CW155,$L$144:$L$158,0),MATCH(CX$145,$M$145:$Z$145,0))/INDEX(고양시_재차인원!$D$4:$H$35,MATCH("고양시",고양시_재차인원!$B$4:$B$35,0),MATCH($CX$144,고양시_재차인원!$D$4:$H$4,0))</f>
        <v>1.4487886611950094</v>
      </c>
      <c r="CY155" s="267">
        <f>INDEX($M$144:$Z$158,MATCH($CW155,$L$144:$L$158,0),MATCH(CY$145,$M$145:$Z$145,0))/INDEX(고양시_재차인원!$K$4:$O$20,MATCH("경기도",고양시_재차인원!$K$4:$K$20,0),MATCH(CY$145,고양시_재차인원!$K$4:$O$4,0))</f>
        <v>1.1984127404273823E-5</v>
      </c>
      <c r="CZ155" s="267">
        <f>INDEX($M$144:$Z$158,MATCH($CW155,$L$144:$L$158,0),MATCH(CZ$145,$M$145:$Z$145,0))/INDEX(고양시_재차인원!$K$4:$O$20,MATCH("경기도",고양시_재차인원!$K$4:$K$20,0),MATCH(CZ$145,고양시_재차인원!$K$4:$O$4,0))</f>
        <v>3.3315874183881223E-3</v>
      </c>
      <c r="DA155" s="267">
        <f>INDEX($M$144:$Z$158,MATCH($CW155,$L$144:$L$158,0),MATCH(DA$145,$M$145:$Z$145,0))/INDEX(고양시_재차인원!$D$4:$H$35,MATCH("고양시",고양시_재차인원!$B$4:$B$35,0),MATCH($CX$144,고양시_재차인원!$D$4:$H$4,0))</f>
        <v>9.303299504165273E-2</v>
      </c>
      <c r="DB155" s="267">
        <f>INDEX($AA$144:$AN$158,MATCH($CW155,$L$144:$L$158,0),MATCH(DB$145,$AA$145:$AN$145,0))/INDEX(고양시_재차인원!$D$4:$H$35,MATCH("고양시",고양시_재차인원!$B$4:$B$35,0),MATCH($DB$144,고양시_재차인원!$D$4:$H$4,0))</f>
        <v>8.3286535667552926</v>
      </c>
      <c r="DC155" s="267">
        <f>INDEX($AA$144:$AN$158,MATCH($CW155,$L$144:$L$158,0),MATCH(DC$145,$AA$145:$AN$145,0))/INDEX(고양시_재차인원!$K$4:$O$20,MATCH("경기도",고양시_재차인원!$K$4:$K$20,0),MATCH(DC$145,고양시_재차인원!$K$4:$O$4,0))</f>
        <v>8.6731581757913375E-5</v>
      </c>
      <c r="DD155" s="267">
        <f>INDEX($AA$144:$AN$158,MATCH($CW155,$L$144:$L$158,0),MATCH(DD$145,$AA$145:$AN$145,0))/INDEX(고양시_재차인원!$K$4:$O$20,MATCH("경기도",고양시_재차인원!$K$4:$K$20,0),MATCH(DD$145,고양시_재차인원!$K$4:$O$4,0))</f>
        <v>2.4111379728699919E-2</v>
      </c>
      <c r="DE155" s="267">
        <f>INDEX($AA$144:$AN$158,MATCH($CW155,$L$144:$L$158,0),MATCH(DE$145,$AA$145:$AN$145,0))/INDEX(고양시_재차인원!$D$4:$H$35,MATCH("고양시",고양시_재차인원!$B$4:$B$35,0),MATCH($DB$144,고양시_재차인원!$D$4:$H$4,0))</f>
        <v>0.53481891923455216</v>
      </c>
      <c r="DF155" s="267">
        <f>INDEX($AO$144:$BB$158,MATCH($CW155,$L$144:$L$158,0),MATCH(DF$145,$AO$145:$BB$145,0))/INDEX(고양시_재차인원!$D$4:$H$35,MATCH("고양시",고양시_재차인원!$B$4:$B$35,0),MATCH($DF$144,고양시_재차인원!$D$4:$H$4,0))</f>
        <v>0.51822298335862138</v>
      </c>
      <c r="DG155" s="267">
        <f>INDEX($AO$144:$BB$158,MATCH($CW155,$L$144:$L$158,0),MATCH(DG$145,$AO$145:$BB$145,0))/INDEX(고양시_재차인원!$K$4:$O$20,MATCH("경기도",고양시_재차인원!$K$4:$K$20,0),MATCH(DG$145,고양시_재차인원!$K$4:$O$4,0))</f>
        <v>4.97557616675918E-6</v>
      </c>
      <c r="DH155" s="267">
        <f>INDEX($AO$144:$BB$158,MATCH($CW155,$L$144:$L$158,0),MATCH(DH$145,$AO$145:$BB$145,0))/INDEX(고양시_재차인원!$K$4:$O$20,MATCH("경기도",고양시_재차인원!$K$4:$K$20,0),MATCH(DH$145,고양시_재차인원!$K$4:$O$4,0))</f>
        <v>1.3832101743590517E-3</v>
      </c>
      <c r="DI155" s="267">
        <f>INDEX($AO$144:$BB$158,MATCH($CW155,$L$144:$L$158,0),MATCH(DI$145,$AO$145:$BB$145,0))/INDEX(고양시_재차인원!$D$4:$H$35,MATCH("고양시",고양시_재차인원!$B$4:$B$35,0),MATCH($DF$144,고양시_재차인원!$D$4:$H$4,0))</f>
        <v>3.3277342329216177E-2</v>
      </c>
      <c r="DJ155" s="267">
        <f>INDEX($BC$144:$BP$158,MATCH($CW155,$L$144:$L$158,0),MATCH(DJ$145,$BC$145:$BP$145,0))/INDEX(고양시_재차인원!$D$4:$H$35,MATCH("고양시",고양시_재차인원!$B$4:$B$35,0),MATCH($DJ$144,고양시_재차인원!$D$4:$H$4,0))</f>
        <v>7.7846024832011656E-4</v>
      </c>
      <c r="DK155" s="267">
        <f>INDEX($BC$144:$BP$158,MATCH($CW155,$L$144:$L$158,0),MATCH(DK$145,$BC$145:$BP$145,0))/INDEX(고양시_재차인원!$K$4:$O$20,MATCH("경기도",고양시_재차인원!$K$4:$K$20,0),MATCH(DK$145,고양시_재차인원!$K$4:$O$4,0))</f>
        <v>7.8191348875209585E-9</v>
      </c>
      <c r="DL155" s="267">
        <f>INDEX($BC$144:$BP$158,MATCH($CW155,$L$144:$L$158,0),MATCH(DL$145,$BC$145:$BP$145,0))/INDEX(고양시_재차인원!$K$4:$O$20,MATCH("경기도",고양시_재차인원!$K$4:$K$20,0),MATCH(DL$145,고양시_재차인원!$K$4:$O$4,0))</f>
        <v>2.1737194987308262E-6</v>
      </c>
      <c r="DM155" s="267">
        <f>INDEX($BC$144:$BP$158,MATCH($CW155,$L$144:$L$158,0),MATCH(DM$145,$BC$145:$BP$145,0))/INDEX(고양시_재차인원!$D$4:$H$35,MATCH("고양시",고양시_재차인원!$B$4:$B$35,0),MATCH($DJ$144,고양시_재차인원!$D$4:$H$4,0))</f>
        <v>4.9988304272310272E-5</v>
      </c>
      <c r="DN155" s="267">
        <f>INDEX($BQ$144:$CD$158,MATCH($CW155,$L$144:$L$158,0),MATCH(DN$145,$BQ$145:$CD$145,0))/INDEX(고양시_재차인원!$D$4:$H$35,MATCH("고양시",고양시_재차인원!$B$4:$B$35,0),MATCH($DN$144,고양시_재차인원!$D$4:$H$4,0))</f>
        <v>3.1742506069067302E-3</v>
      </c>
      <c r="DO155" s="267">
        <f>INDEX($BQ$144:$CD$158,MATCH($CW155,$L$144:$L$158,0),MATCH(DO$145,$BQ$145:$CD$145,0))/INDEX(고양시_재차인원!$K$4:$O$20,MATCH("경기도",고양시_재차인원!$K$4:$K$20,0),MATCH(DO$145,고양시_재차인원!$K$4:$O$4,0))</f>
        <v>2.9538954019523725E-8</v>
      </c>
      <c r="DP155" s="267">
        <f>INDEX($BQ$144:$CD$158,MATCH($CW155,$L$144:$L$158,0),MATCH(DP$145,$BQ$145:$CD$145,0))/INDEX(고양시_재차인원!$K$4:$O$20,MATCH("경기도",고양시_재차인원!$K$4:$K$20,0),MATCH(DP$145,고양시_재차인원!$K$4:$O$4,0))</f>
        <v>8.2118292174275952E-6</v>
      </c>
      <c r="DQ155" s="267">
        <f>INDEX($BQ$144:$CD$158,MATCH($CW155,$L$144:$L$158,0),MATCH(DQ$145,$BQ$145:$CD$145,0))/INDEX(고양시_재차인원!$D$4:$H$35,MATCH("고양시",고양시_재차인원!$B$4:$B$35,0),MATCH($DN$144,고양시_재차인원!$D$4:$H$4,0))</f>
        <v>2.0383238003100841E-4</v>
      </c>
      <c r="DR155" s="270">
        <f t="shared" si="86"/>
        <v>10.299617922164151</v>
      </c>
      <c r="DS155" s="270">
        <f t="shared" si="77"/>
        <v>1.0372864341785344E-4</v>
      </c>
      <c r="DT155" s="270">
        <f t="shared" si="78"/>
        <v>2.883656287016325E-2</v>
      </c>
      <c r="DU155" s="270">
        <f t="shared" si="79"/>
        <v>0.66138307728972434</v>
      </c>
      <c r="DW155" s="278"/>
      <c r="DX155" s="278" t="s">
        <v>304</v>
      </c>
      <c r="DY155" s="281">
        <f t="shared" si="87"/>
        <v>10.961000999453875</v>
      </c>
      <c r="DZ155" s="281">
        <f t="shared" si="88"/>
        <v>2.8940291513581105E-2</v>
      </c>
      <c r="EB155" s="278"/>
      <c r="EC155" s="278" t="s">
        <v>304</v>
      </c>
      <c r="ED155" s="281">
        <f t="shared" si="89"/>
        <v>10.961000999453875</v>
      </c>
      <c r="EE155" s="281">
        <f t="shared" si="80"/>
        <v>2.8940291513581105E-2</v>
      </c>
      <c r="EL155" s="306" t="s">
        <v>668</v>
      </c>
      <c r="EM155" s="306" t="s">
        <v>220</v>
      </c>
      <c r="EN155" s="306">
        <v>51875.97</v>
      </c>
      <c r="EO155" s="306">
        <v>0.27933686355182291</v>
      </c>
      <c r="EP155" s="307">
        <v>849110</v>
      </c>
      <c r="EQ155" s="308">
        <f t="shared" si="90"/>
        <v>1269.2849506422892</v>
      </c>
      <c r="ER155" s="308">
        <f t="shared" si="91"/>
        <v>3.3512884897300403</v>
      </c>
      <c r="ET155" s="420" t="s">
        <v>668</v>
      </c>
      <c r="EU155" s="420" t="s">
        <v>220</v>
      </c>
      <c r="EV155" s="420">
        <v>51875.97</v>
      </c>
      <c r="EW155" s="420">
        <v>0.27933686355182291</v>
      </c>
      <c r="EX155" s="421">
        <v>849110</v>
      </c>
      <c r="EY155" s="422">
        <f t="shared" si="92"/>
        <v>1233.1103295489841</v>
      </c>
      <c r="EZ155" s="422">
        <f t="shared" si="81"/>
        <v>3.2557767677727343</v>
      </c>
      <c r="FA155">
        <v>0</v>
      </c>
      <c r="FD155" s="306" t="s">
        <v>668</v>
      </c>
      <c r="FE155" s="306" t="s">
        <v>220</v>
      </c>
      <c r="FF155" s="306">
        <v>51875.97</v>
      </c>
      <c r="FG155" s="306">
        <v>0.27933686355182291</v>
      </c>
      <c r="FH155" s="307">
        <v>849110</v>
      </c>
      <c r="FI155" s="308">
        <f t="shared" si="82"/>
        <v>1233.1103295489841</v>
      </c>
      <c r="FJ155" s="308">
        <f t="shared" si="83"/>
        <v>3.2557767677727343</v>
      </c>
      <c r="FL155" s="101"/>
      <c r="FM155" s="101"/>
      <c r="FN155" s="101"/>
      <c r="FO155" s="101"/>
      <c r="FP155" s="374"/>
      <c r="FQ155" s="404"/>
      <c r="FR155" s="404"/>
    </row>
    <row r="156" spans="1:174" ht="25">
      <c r="A156" s="205"/>
      <c r="B156" s="205" t="s">
        <v>305</v>
      </c>
      <c r="C156" s="400">
        <f>$AB71*KTDB_TripDistribution_2025!T$12 * (1+KTDB_발생량도착량_증가율!$C$7*2)</f>
        <v>10.65874711404366</v>
      </c>
      <c r="D156" s="400">
        <f>$AB71*KTDB_TripDistribution_2025!U$12 * (1+KTDB_발생량도착량_증가율!$C$7*2)</f>
        <v>77.139533448961856</v>
      </c>
      <c r="E156" s="400">
        <f>$AB71*KTDB_TripDistribution_2025!V$12 * (1+KTDB_발생량도착량_증가율!$C$7*2)</f>
        <v>4.4253040975879347</v>
      </c>
      <c r="F156" s="400">
        <f>$AB71*KTDB_TripDistribution_2025!W$12 * (1+KTDB_발생량도착량_증가율!$C$7*2)</f>
        <v>6.9543804571837505E-3</v>
      </c>
      <c r="G156" s="400">
        <f>$AB71*KTDB_TripDistribution_2025!X$12 * (1+KTDB_발생량도착량_증가율!$C$7*2)</f>
        <v>2.6272103949360932E-2</v>
      </c>
      <c r="H156" s="400">
        <f>$AB71*KTDB_TripDistribution_2025!Y$12 * (1+KTDB_발생량도착량_증가율!$C$7*2)</f>
        <v>92.256811145000015</v>
      </c>
      <c r="I156" s="56"/>
      <c r="J156" s="56"/>
      <c r="K156" s="206"/>
      <c r="L156" s="206" t="s">
        <v>305</v>
      </c>
      <c r="M156" s="206">
        <f>INDEX($A$145:$H$158,MATCH($L156,$B$145:$B$158,0),MATCH($M$144,$A$145:$H$145,0))*고양시_Modal_split!C$3 * 0.01</f>
        <v>2.9844491919322244E-2</v>
      </c>
      <c r="N156" s="206">
        <f>INDEX($A$145:$H$158,MATCH($L156,$B$145:$B$158,0),MATCH($M$144,$A$145:$H$145,0))*고양시_Modal_split!D$3 * 0.01</f>
        <v>5.0128087677347333</v>
      </c>
      <c r="O156" s="206">
        <f>INDEX($A$145:$H$158,MATCH($L156,$B$145:$B$158,0),MATCH($M$144,$A$145:$H$145,0))*고양시_Modal_split!E$3 * 0.01</f>
        <v>0.60648271078908422</v>
      </c>
      <c r="P156" s="206">
        <f>INDEX($A$145:$H$158,MATCH($L156,$B$145:$B$158,0),MATCH($M$144,$A$145:$H$145,0))*고양시_Modal_split!F$3 * 0.01</f>
        <v>0.9774071103578037</v>
      </c>
      <c r="Q156" s="206">
        <f>INDEX($A$145:$H$158,MATCH($L156,$B$145:$B$158,0),MATCH($M$144,$A$145:$H$145,0))*고양시_Modal_split!G$3 * 0.01</f>
        <v>9.8060473449201671E-2</v>
      </c>
      <c r="R156" s="206">
        <f>INDEX($A$145:$H$158,MATCH($L156,$B$145:$B$158,0),MATCH($M$144,$A$145:$H$145,0))*고양시_Modal_split!H$3 * 0.01</f>
        <v>1.065874711404366E-3</v>
      </c>
      <c r="S156" s="206">
        <f>INDEX($A$145:$H$158,MATCH($L156,$B$145:$B$158,0),MATCH($M$144,$A$145:$H$145,0))*고양시_Modal_split!I$3 * 0.01</f>
        <v>0.29631316977041372</v>
      </c>
      <c r="T156" s="206">
        <f>INDEX($A$145:$H$158,MATCH($L156,$B$145:$B$158,0),MATCH($M$144,$A$145:$H$145,0))*고양시_Modal_split!J$3 * 0.01</f>
        <v>3.2445226215148906</v>
      </c>
      <c r="U156" s="206">
        <f>INDEX($A$145:$H$158,MATCH($L156,$B$145:$B$158,0),MATCH($M$144,$A$145:$H$145,0))*고양시_Modal_split!K$3 * 0.01</f>
        <v>1.5988120671065489E-2</v>
      </c>
      <c r="V156" s="206">
        <f>INDEX($A$145:$H$158,MATCH($L156,$B$145:$B$158,0),MATCH($M$144,$A$145:$H$145,0))*고양시_Modal_split!L$3 * 0.01</f>
        <v>0.32189416284411854</v>
      </c>
      <c r="W156" s="206">
        <f>INDEX($A$145:$H$158,MATCH($L156,$B$145:$B$158,0),MATCH($M$144,$A$145:$H$145,0))*고양시_Modal_split!M$3 * 0.01</f>
        <v>2.4515118362300418E-2</v>
      </c>
      <c r="X156" s="206">
        <f>INDEX($A$145:$H$158,MATCH($L156,$B$145:$B$158,0),MATCH($M$144,$A$145:$H$145,0))*고양시_Modal_split!N$3 * 0.01</f>
        <v>1.0658747114043661E-2</v>
      </c>
      <c r="Y156" s="206">
        <f>INDEX($A$145:$H$158,MATCH($L156,$B$145:$B$158,0),MATCH($M$144,$A$145:$H$145,0))*고양시_Modal_split!O$3 * 0.01</f>
        <v>1.9185744805278588E-2</v>
      </c>
      <c r="Z156" s="209">
        <f>INDEX($A$145:$H$158,MATCH($L156,$B$145:$B$158,0),MATCH($M$144,$A$145:$H$145,0))*고양시_Modal_split!P$3 * 0.01</f>
        <v>10.658747114043662</v>
      </c>
      <c r="AA156" s="207">
        <f>INDEX($A$145:$H$158,MATCH($L156,$B$145:$B$158,0),MATCH($AA$144,$A$145:$H$145,0))*고양시_Modal_split!C$3 * 0.01</f>
        <v>0.2159906936570932</v>
      </c>
      <c r="AB156" s="207">
        <f>INDEX($A$145:$H$158,MATCH($L156,$B$145:$B$158,0),MATCH($AA$144,$A$145:$H$145,0))*고양시_Modal_split!D$3 * 0.01</f>
        <v>36.278722581046765</v>
      </c>
      <c r="AC156" s="207">
        <f>INDEX($A$145:$H$158,MATCH($L156,$B$145:$B$158,0),MATCH($AA$144,$A$145:$H$145,0))*고양시_Modal_split!E$3 * 0.01</f>
        <v>4.3892394532459296</v>
      </c>
      <c r="AD156" s="207">
        <f>INDEX($A$145:$H$158,MATCH($L156,$B$145:$B$158,0),MATCH($AA$144,$A$145:$H$145,0))*고양시_Modal_split!F$3 * 0.01</f>
        <v>7.073695217269802</v>
      </c>
      <c r="AE156" s="207">
        <f>INDEX($A$145:$H$158,MATCH($L156,$B$145:$B$158,0),MATCH($AA$144,$A$145:$H$145,0))*고양시_Modal_split!G$3 * 0.01</f>
        <v>0.70968370773044898</v>
      </c>
      <c r="AF156" s="207">
        <f>INDEX($A$145:$H$158,MATCH($L156,$B$145:$B$158,0),MATCH($AA$144,$A$145:$H$145,0))*고양시_Modal_split!H$3 * 0.01</f>
        <v>7.7139533448961862E-3</v>
      </c>
      <c r="AG156" s="207">
        <f>INDEX($A$145:$H$158,MATCH($L156,$B$145:$B$158,0),MATCH($AA$144,$A$145:$H$145,0))*고양시_Modal_split!I$3 * 0.01</f>
        <v>2.1444790298811394</v>
      </c>
      <c r="AH156" s="207">
        <f>INDEX($A$145:$H$158,MATCH($L156,$B$145:$B$158,0),MATCH($AA$144,$A$145:$H$145,0))*고양시_Modal_split!J$3 * 0.01</f>
        <v>23.481273981863993</v>
      </c>
      <c r="AI156" s="207">
        <f>INDEX($A$145:$H$158,MATCH($L156,$B$145:$B$158,0),MATCH($AA$144,$A$145:$H$145,0))*고양시_Modal_split!K$3 * 0.01</f>
        <v>0.11570930017344278</v>
      </c>
      <c r="AJ156" s="207">
        <f>INDEX($A$145:$H$158,MATCH($L156,$B$145:$B$158,0),MATCH($AA$144,$A$145:$H$145,0))*고양시_Modal_split!L$3 * 0.01</f>
        <v>2.3296139101586482</v>
      </c>
      <c r="AK156" s="207">
        <f>INDEX($A$145:$H$158,MATCH($L156,$B$145:$B$158,0),MATCH($AA$144,$A$145:$H$145,0))*고양시_Modal_split!M$3 * 0.01</f>
        <v>0.17742092693261224</v>
      </c>
      <c r="AL156" s="207">
        <f>INDEX($A$145:$H$158,MATCH($L156,$B$145:$B$158,0),MATCH($AA$144,$A$145:$H$145,0))*고양시_Modal_split!N$3 * 0.01</f>
        <v>7.7139533448961864E-2</v>
      </c>
      <c r="AM156" s="207">
        <f>INDEX($A$145:$H$158,MATCH($L156,$B$145:$B$158,0),MATCH($AA$144,$A$145:$H$145,0))*고양시_Modal_split!O$3 * 0.01</f>
        <v>0.13885116020813135</v>
      </c>
      <c r="AN156" s="207">
        <f>INDEX($A$145:$H$158,MATCH($L156,$B$145:$B$158,0),MATCH($AA$144,$A$145:$H$145,0))*고양시_Modal_split!P$3 * 0.01</f>
        <v>77.139533448961856</v>
      </c>
      <c r="AO156" s="303">
        <f>INDEX($A$145:$H$158,MATCH($L156,$B$145:$B$158,0),MATCH($AO$144,$A$145:$H$145,0))*고양시_Modal_split!C$3 * 0.01</f>
        <v>1.2390851473246216E-2</v>
      </c>
      <c r="AP156" s="303">
        <f>INDEX($A$145:$H$158,MATCH($L156,$B$145:$B$158,0),MATCH($AO$144,$A$145:$H$145,0))*고양시_Modal_split!D$3 * 0.01</f>
        <v>2.0812205170956055</v>
      </c>
      <c r="AQ156" s="303">
        <f>INDEX($A$145:$H$158,MATCH($L156,$B$145:$B$158,0),MATCH($AO$144,$A$145:$H$145,0))*고양시_Modal_split!E$3 * 0.01</f>
        <v>0.25179980315275347</v>
      </c>
      <c r="AR156" s="303">
        <f>INDEX($A$145:$H$158,MATCH($L156,$B$145:$B$158,0),MATCH($AO$144,$A$145:$H$145,0))*고양시_Modal_split!F$3 * 0.01</f>
        <v>0.40580038574881366</v>
      </c>
      <c r="AS156" s="303">
        <f>INDEX($A$145:$H$158,MATCH($L156,$B$145:$B$158,0),MATCH($AO$144,$A$145:$H$145,0))*고양시_Modal_split!G$3 * 0.01</f>
        <v>4.0712797697809E-2</v>
      </c>
      <c r="AT156" s="303">
        <f>INDEX($A$145:$H$158,MATCH($L156,$B$145:$B$158,0),MATCH($AO$144,$A$145:$H$145,0))*고양시_Modal_split!H$3 * 0.01</f>
        <v>4.4253040975879353E-4</v>
      </c>
      <c r="AU156" s="303">
        <f>INDEX($A$145:$H$158,MATCH($L156,$B$145:$B$158,0),MATCH($AO$144,$A$145:$H$145,0))*고양시_Modal_split!I$3 * 0.01</f>
        <v>0.12302345391294457</v>
      </c>
      <c r="AV156" s="303">
        <f>INDEX($A$145:$H$158,MATCH($L156,$B$145:$B$158,0),MATCH($AO$144,$A$145:$H$145,0))*고양시_Modal_split!J$3 * 0.01</f>
        <v>1.3470625673057675</v>
      </c>
      <c r="AW156" s="303">
        <f>INDEX($A$145:$H$158,MATCH($L156,$B$145:$B$158,0),MATCH($AO$144,$A$145:$H$145,0))*고양시_Modal_split!K$3 * 0.01</f>
        <v>6.6379561463819018E-3</v>
      </c>
      <c r="AX156" s="303">
        <f>INDEX($A$145:$H$158,MATCH($L156,$B$145:$B$158,0),MATCH($AO$144,$A$145:$H$145,0))*고양시_Modal_split!L$3 * 0.01</f>
        <v>0.13364418374715561</v>
      </c>
      <c r="AY156" s="303">
        <f>INDEX($A$145:$H$158,MATCH($L156,$B$145:$B$158,0),MATCH($AO$144,$A$145:$H$145,0))*고양시_Modal_split!M$3 * 0.01</f>
        <v>1.017819942445225E-2</v>
      </c>
      <c r="AZ156" s="303">
        <f>INDEX($A$145:$H$158,MATCH($L156,$B$145:$B$158,0),MATCH($AO$144,$A$145:$H$145,0))*고양시_Modal_split!N$3 * 0.01</f>
        <v>4.4253040975879348E-3</v>
      </c>
      <c r="BA156" s="207">
        <f>INDEX($A$145:$H$158,MATCH($L156,$B$145:$B$158,0),MATCH($AO$144,$A$145:$H$145,0))*고양시_Modal_split!O$3 * 0.01</f>
        <v>7.9655473756582822E-3</v>
      </c>
      <c r="BB156" s="207">
        <f>INDEX($A$145:$H$158,MATCH($L156,$B$145:$B$158,0),MATCH($AO$144,$A$145:$H$145,0))*고양시_Modal_split!P$3 * 0.01</f>
        <v>4.4253040975879347</v>
      </c>
      <c r="BC156" s="207">
        <f>INDEX($A$145:$H$158,MATCH($L156,$B$145:$B$158,0),MATCH($BC$144,$A$145:$H$145,0))*고양시_Modal_split!C$3 * 0.01</f>
        <v>1.9472265280114501E-5</v>
      </c>
      <c r="BD156" s="207">
        <f>INDEX($A$145:$H$158,MATCH($L156,$B$145:$B$158,0),MATCH($BC$144,$A$145:$H$145,0))*고양시_Modal_split!D$3 * 0.01</f>
        <v>3.2706451290135182E-3</v>
      </c>
      <c r="BE156" s="207">
        <f>INDEX($A$145:$H$158,MATCH($L156,$B$145:$B$158,0),MATCH($BC$144,$A$145:$H$145,0))*고양시_Modal_split!E$3 * 0.01</f>
        <v>3.9570424801375534E-4</v>
      </c>
      <c r="BF156" s="207">
        <f>INDEX($A$145:$H$158,MATCH($L156,$B$145:$B$158,0),MATCH($BC$144,$A$145:$H$145,0))*고양시_Modal_split!F$3 * 0.01</f>
        <v>6.3771668792374995E-4</v>
      </c>
      <c r="BG156" s="207">
        <f>INDEX($A$145:$H$158,MATCH($L156,$B$145:$B$158,0),MATCH($BC$144,$A$145:$H$145,0))*고양시_Modal_split!G$3 * 0.01</f>
        <v>6.3980300206090504E-5</v>
      </c>
      <c r="BH156" s="207">
        <f>INDEX($A$145:$H$158,MATCH($L156,$B$145:$B$158,0),MATCH($BC$144,$A$145:$H$145,0))*고양시_Modal_split!H$3 * 0.01</f>
        <v>6.9543804571837509E-7</v>
      </c>
      <c r="BI156" s="207">
        <f>INDEX($A$145:$H$158,MATCH($L156,$B$145:$B$158,0),MATCH($BC$144,$A$145:$H$145,0))*고양시_Modal_split!I$3 * 0.01</f>
        <v>1.9333177670970825E-4</v>
      </c>
      <c r="BJ156" s="207">
        <f>INDEX($A$145:$H$158,MATCH($L156,$B$145:$B$158,0),MATCH($BC$144,$A$145:$H$145,0))*고양시_Modal_split!J$3 * 0.01</f>
        <v>2.1169134111667337E-3</v>
      </c>
      <c r="BK156" s="207">
        <f>INDEX($A$145:$H$158,MATCH($L156,$B$145:$B$158,0),MATCH($BC$144,$A$145:$H$145,0))*고양시_Modal_split!K$3 * 0.01</f>
        <v>1.0431570685775626E-5</v>
      </c>
      <c r="BL156" s="207">
        <f>INDEX($A$145:$H$158,MATCH($L156,$B$145:$B$158,0),MATCH($BC$144,$A$145:$H$145,0))*고양시_Modal_split!L$3 * 0.01</f>
        <v>2.1002228980694927E-4</v>
      </c>
      <c r="BM156" s="207">
        <f>INDEX($A$145:$H$158,MATCH($L156,$B$145:$B$158,0),MATCH($BC$144,$A$145:$H$145,0))*고양시_Modal_split!M$3 * 0.01</f>
        <v>1.5995075051522626E-5</v>
      </c>
      <c r="BN156" s="207">
        <f>INDEX($A$145:$H$158,MATCH($L156,$B$145:$B$158,0),MATCH($BC$144,$A$145:$H$145,0))*고양시_Modal_split!N$3 * 0.01</f>
        <v>6.9543804571837507E-6</v>
      </c>
      <c r="BO156" s="207">
        <f>INDEX($A$145:$H$158,MATCH($L156,$B$145:$B$158,0),MATCH($BC$144,$A$145:$H$145,0))*고양시_Modal_split!O$3 * 0.01</f>
        <v>1.2517884822930751E-5</v>
      </c>
      <c r="BP156" s="207">
        <f>INDEX($A$145:$H$158,MATCH($L156,$B$145:$B$158,0),MATCH($BC$144,$A$145:$H$145,0))*고양시_Modal_split!P$3 * 0.01</f>
        <v>6.9543804571837514E-3</v>
      </c>
      <c r="BQ156" s="207">
        <f>INDEX($A$145:$H$158,MATCH($L156,$B$145:$B$158,0),MATCH($BQ$144,$A$145:$H$145,0))*고양시_Modal_split!C$3 * 0.01</f>
        <v>7.3561891058210598E-5</v>
      </c>
      <c r="BR156" s="207">
        <f>INDEX($A$145:$H$158,MATCH($L156,$B$145:$B$158,0),MATCH($BQ$144,$A$145:$H$145,0))*고양시_Modal_split!D$3 * 0.01</f>
        <v>1.2355770487384446E-2</v>
      </c>
      <c r="BS156" s="207">
        <f>INDEX($A$145:$H$158,MATCH($L156,$B$145:$B$158,0),MATCH($BQ$144,$A$145:$H$145,0))*고양시_Modal_split!E$3 * 0.01</f>
        <v>1.494882714718637E-3</v>
      </c>
      <c r="BT156" s="207">
        <f>INDEX($A$145:$H$158,MATCH($L156,$B$145:$B$158,0),MATCH($BQ$144,$A$145:$H$145,0))*고양시_Modal_split!F$3 * 0.01</f>
        <v>2.4091519321563972E-3</v>
      </c>
      <c r="BU156" s="207">
        <f>INDEX($A$145:$H$158,MATCH($L156,$B$145:$B$158,0),MATCH($BQ$144,$A$145:$H$145,0))*고양시_Modal_split!G$3 * 0.01</f>
        <v>2.4170335633412056E-4</v>
      </c>
      <c r="BV156" s="207">
        <f>INDEX($A$145:$H$158,MATCH($L156,$B$145:$B$158,0),MATCH($BQ$144,$A$145:$H$145,0))*고양시_Modal_split!H$3 * 0.01</f>
        <v>2.6272103949360932E-6</v>
      </c>
      <c r="BW156" s="207">
        <f>INDEX($A$145:$H$158,MATCH($L156,$B$145:$B$158,0),MATCH($BQ$144,$A$145:$H$145,0))*고양시_Modal_split!I$3 * 0.01</f>
        <v>7.3036448979223385E-4</v>
      </c>
      <c r="BX156" s="207">
        <f>INDEX($A$145:$H$158,MATCH($L156,$B$145:$B$158,0),MATCH($BQ$144,$A$145:$H$145,0))*고양시_Modal_split!J$3 * 0.01</f>
        <v>7.9972284421854674E-3</v>
      </c>
      <c r="BY156" s="207">
        <f>INDEX($A$145:$H$158,MATCH($L156,$B$145:$B$158,0),MATCH($BQ$144,$A$145:$H$145,0))*고양시_Modal_split!K$3 * 0.01</f>
        <v>3.9408155924041398E-5</v>
      </c>
      <c r="BZ156" s="207">
        <f>INDEX($A$145:$H$158,MATCH($L156,$B$145:$B$158,0),MATCH($BQ$144,$A$145:$H$145,0))*고양시_Modal_split!L$3 * 0.01</f>
        <v>7.9341753927070018E-4</v>
      </c>
      <c r="CA156" s="207">
        <f>INDEX($A$145:$H$158,MATCH($L156,$B$145:$B$158,0),MATCH($BQ$144,$A$145:$H$145,0))*고양시_Modal_split!M$3 * 0.01</f>
        <v>6.0425839083530141E-5</v>
      </c>
      <c r="CB156" s="207">
        <f>INDEX($A$145:$H$158,MATCH($L156,$B$145:$B$158,0),MATCH($BQ$144,$A$145:$H$145,0))*고양시_Modal_split!N$3 * 0.01</f>
        <v>2.6272103949360935E-5</v>
      </c>
      <c r="CC156" s="207">
        <f>INDEX($A$145:$H$158,MATCH($L156,$B$145:$B$158,0),MATCH($BQ$144,$A$145:$H$145,0))*고양시_Modal_split!O$3 * 0.01</f>
        <v>4.728978710884967E-5</v>
      </c>
      <c r="CD156" s="207">
        <f>INDEX($A$145:$H$158,MATCH($L156,$B$145:$B$158,0),MATCH($BQ$144,$A$145:$H$145,0))*고양시_Modal_split!P$3 * 0.01</f>
        <v>2.6272103949360932E-2</v>
      </c>
      <c r="CE156" s="304">
        <f t="shared" si="84"/>
        <v>0.25831907120599995</v>
      </c>
      <c r="CF156" s="304">
        <f t="shared" si="64"/>
        <v>43.388378281493502</v>
      </c>
      <c r="CG156" s="304">
        <f t="shared" si="65"/>
        <v>5.2494125541504992</v>
      </c>
      <c r="CH156" s="304">
        <f t="shared" si="66"/>
        <v>8.4599495819964989</v>
      </c>
      <c r="CI156" s="304">
        <f t="shared" si="67"/>
        <v>0.84876266253399979</v>
      </c>
      <c r="CJ156" s="304">
        <f t="shared" si="68"/>
        <v>9.2256811144999992E-3</v>
      </c>
      <c r="CK156" s="304">
        <f t="shared" si="69"/>
        <v>2.5647393498309992</v>
      </c>
      <c r="CL156" s="304">
        <f t="shared" si="70"/>
        <v>28.082973312538002</v>
      </c>
      <c r="CM156" s="304">
        <f t="shared" si="71"/>
        <v>0.13838521671749998</v>
      </c>
      <c r="CN156" s="304">
        <f t="shared" si="72"/>
        <v>2.7861556965789998</v>
      </c>
      <c r="CO156" s="304">
        <f t="shared" si="73"/>
        <v>0.21219066563349995</v>
      </c>
      <c r="CP156" s="304">
        <f t="shared" si="74"/>
        <v>9.2256811144999992E-2</v>
      </c>
      <c r="CQ156" s="304">
        <f t="shared" si="75"/>
        <v>0.166062260061</v>
      </c>
      <c r="CR156" s="304">
        <f t="shared" si="76"/>
        <v>92.256811145000015</v>
      </c>
      <c r="CS156" s="305">
        <f t="shared" si="85"/>
        <v>0</v>
      </c>
      <c r="CV156" s="267"/>
      <c r="CW156" s="267" t="s">
        <v>305</v>
      </c>
      <c r="CX156" s="267">
        <f>INDEX($M$144:$Z$158,MATCH($CW156,$L$144:$L$158,0),MATCH(CX$145,$M$145:$Z$145,0))/INDEX(고양시_재차인원!$D$4:$H$35,MATCH("고양시",고양시_재차인원!$B$4:$B$35,0),MATCH($CX$144,고양시_재차인원!$D$4:$H$4,0))</f>
        <v>4.4757221140488683</v>
      </c>
      <c r="CY156" s="267">
        <f>INDEX($M$144:$Z$158,MATCH($CW156,$L$144:$L$158,0),MATCH(CY$145,$M$145:$Z$145,0))/INDEX(고양시_재차인원!$K$4:$O$20,MATCH("경기도",고양시_재차인원!$K$4:$K$20,0),MATCH(CY$145,고양시_재차인원!$K$4:$O$4,0))</f>
        <v>3.7022393588203057E-5</v>
      </c>
      <c r="CZ156" s="267">
        <f>INDEX($M$144:$Z$158,MATCH($CW156,$L$144:$L$158,0),MATCH(CZ$145,$M$145:$Z$145,0))/INDEX(고양시_재차인원!$K$4:$O$20,MATCH("경기도",고양시_재차인원!$K$4:$K$20,0),MATCH(CZ$145,고양시_재차인원!$K$4:$O$4,0))</f>
        <v>1.0292225417520449E-2</v>
      </c>
      <c r="DA156" s="267">
        <f>INDEX($M$144:$Z$158,MATCH($CW156,$L$144:$L$158,0),MATCH(DA$145,$M$145:$Z$145,0))/INDEX(고양시_재차인원!$D$4:$H$35,MATCH("고양시",고양시_재차인원!$B$4:$B$35,0),MATCH($CX$144,고양시_재차인원!$D$4:$H$4,0))</f>
        <v>0.28740550253939151</v>
      </c>
      <c r="DB156" s="267">
        <f>INDEX($AA$144:$AN$158,MATCH($CW156,$L$144:$L$158,0),MATCH(DB$145,$AA$145:$AN$145,0))/INDEX(고양시_재차인원!$D$4:$H$35,MATCH("고양시",고양시_재차인원!$B$4:$B$35,0),MATCH($DB$144,고양시_재차인원!$D$4:$H$4,0))</f>
        <v>25.72959048301189</v>
      </c>
      <c r="DC156" s="267">
        <f>INDEX($AA$144:$AN$158,MATCH($CW156,$L$144:$L$158,0),MATCH(DC$145,$AA$145:$AN$145,0))/INDEX(고양시_재차인원!$K$4:$O$20,MATCH("경기도",고양시_재차인원!$K$4:$K$20,0),MATCH(DC$145,고양시_재차인원!$K$4:$O$4,0))</f>
        <v>2.6793863650212527E-4</v>
      </c>
      <c r="DD156" s="267">
        <f>INDEX($AA$144:$AN$158,MATCH($CW156,$L$144:$L$158,0),MATCH(DD$145,$AA$145:$AN$145,0))/INDEX(고양시_재차인원!$K$4:$O$20,MATCH("경기도",고양시_재차인원!$K$4:$K$20,0),MATCH(DD$145,고양시_재차인원!$K$4:$O$4,0))</f>
        <v>7.4486940947590813E-2</v>
      </c>
      <c r="DE156" s="267">
        <f>INDEX($AA$144:$AN$158,MATCH($CW156,$L$144:$L$158,0),MATCH(DE$145,$AA$145:$AN$145,0))/INDEX(고양시_재차인원!$D$4:$H$35,MATCH("고양시",고양시_재차인원!$B$4:$B$35,0),MATCH($DB$144,고양시_재차인원!$D$4:$H$4,0))</f>
        <v>1.6522084469210272</v>
      </c>
      <c r="DF156" s="267">
        <f>INDEX($AO$144:$BB$158,MATCH($CW156,$L$144:$L$158,0),MATCH(DF$145,$AO$145:$BB$145,0))/INDEX(고양시_재차인원!$D$4:$H$35,MATCH("고양시",고양시_재차인원!$B$4:$B$35,0),MATCH($DF$144,고양시_재차인원!$D$4:$H$4,0))</f>
        <v>1.6009388593043119</v>
      </c>
      <c r="DG156" s="267">
        <f>INDEX($AO$144:$BB$158,MATCH($CW156,$L$144:$L$158,0),MATCH(DG$145,$AO$145:$BB$145,0))/INDEX(고양시_재차인원!$K$4:$O$20,MATCH("경기도",고양시_재차인원!$K$4:$K$20,0),MATCH(DG$145,고양시_재차인원!$K$4:$O$4,0))</f>
        <v>1.5370976372309605E-5</v>
      </c>
      <c r="DH156" s="267">
        <f>INDEX($AO$144:$BB$158,MATCH($CW156,$L$144:$L$158,0),MATCH(DH$145,$AO$145:$BB$145,0))/INDEX(고양시_재차인원!$K$4:$O$20,MATCH("경기도",고양시_재차인원!$K$4:$K$20,0),MATCH(DH$145,고양시_재차인원!$K$4:$O$4,0))</f>
        <v>4.2731314315020696E-3</v>
      </c>
      <c r="DI156" s="267">
        <f>INDEX($AO$144:$BB$158,MATCH($CW156,$L$144:$L$158,0),MATCH(DI$145,$AO$145:$BB$145,0))/INDEX(고양시_재차인원!$D$4:$H$35,MATCH("고양시",고양시_재차인원!$B$4:$B$35,0),MATCH($DF$144,고양시_재차인원!$D$4:$H$4,0))</f>
        <v>0.10280321826704278</v>
      </c>
      <c r="DJ156" s="267">
        <f>INDEX($BC$144:$BP$158,MATCH($CW156,$L$144:$L$158,0),MATCH(DJ$145,$BC$145:$BP$145,0))/INDEX(고양시_재차인원!$D$4:$H$35,MATCH("고양시",고양시_재차인원!$B$4:$B$35,0),MATCH($DJ$144,고양시_재차인원!$D$4:$H$4,0))</f>
        <v>2.4048861242746454E-3</v>
      </c>
      <c r="DK156" s="267">
        <f>INDEX($BC$144:$BP$158,MATCH($CW156,$L$144:$L$158,0),MATCH(DK$145,$BC$145:$BP$145,0))/INDEX(고양시_재차인원!$K$4:$O$20,MATCH("경기도",고양시_재차인원!$K$4:$K$20,0),MATCH(DK$145,고양시_재차인원!$K$4:$O$4,0))</f>
        <v>2.4155541706091529E-8</v>
      </c>
      <c r="DL156" s="267">
        <f>INDEX($BC$144:$BP$158,MATCH($CW156,$L$144:$L$158,0),MATCH(DL$145,$BC$145:$BP$145,0))/INDEX(고양시_재차인원!$K$4:$O$20,MATCH("경기도",고양시_재차인원!$K$4:$K$20,0),MATCH(DL$145,고양시_재차인원!$K$4:$O$4,0))</f>
        <v>6.7152405942934437E-6</v>
      </c>
      <c r="DM156" s="267">
        <f>INDEX($BC$144:$BP$158,MATCH($CW156,$L$144:$L$158,0),MATCH(DM$145,$BC$145:$BP$145,0))/INDEX(고양시_재차인원!$D$4:$H$35,MATCH("고양시",고양시_재차인원!$B$4:$B$35,0),MATCH($DJ$144,고양시_재차인원!$D$4:$H$4,0))</f>
        <v>1.5442815426981564E-4</v>
      </c>
      <c r="DN156" s="267">
        <f>INDEX($BQ$144:$CD$158,MATCH($CW156,$L$144:$L$158,0),MATCH(DN$145,$BQ$145:$CD$145,0))/INDEX(고양시_재차인원!$D$4:$H$35,MATCH("고양시",고양시_재차인원!$B$4:$B$35,0),MATCH($DN$144,고양시_재차인원!$D$4:$H$4,0))</f>
        <v>9.8061670534797182E-3</v>
      </c>
      <c r="DO156" s="267">
        <f>INDEX($BQ$144:$CD$158,MATCH($CW156,$L$144:$L$158,0),MATCH(DO$145,$BQ$145:$CD$145,0))/INDEX(고양시_재차인원!$K$4:$O$20,MATCH("경기도",고양시_재차인원!$K$4:$K$20,0),MATCH(DO$145,고양시_재차인원!$K$4:$O$4,0))</f>
        <v>9.1254268667457222E-8</v>
      </c>
      <c r="DP156" s="267">
        <f>INDEX($BQ$144:$CD$158,MATCH($CW156,$L$144:$L$158,0),MATCH(DP$145,$BQ$145:$CD$145,0))/INDEX(고양시_재차인원!$K$4:$O$20,MATCH("경기도",고양시_재차인원!$K$4:$K$20,0),MATCH(DP$145,고양시_재차인원!$K$4:$O$4,0))</f>
        <v>2.5368686689553105E-5</v>
      </c>
      <c r="DQ156" s="267">
        <f>INDEX($BQ$144:$CD$158,MATCH($CW156,$L$144:$L$158,0),MATCH(DQ$145,$BQ$145:$CD$145,0))/INDEX(고양시_재차인원!$D$4:$H$35,MATCH("고양시",고양시_재차인원!$B$4:$B$35,0),MATCH($DN$144,고양시_재차인원!$D$4:$H$4,0))</f>
        <v>6.2969645973865091E-4</v>
      </c>
      <c r="DR156" s="270">
        <f t="shared" si="86"/>
        <v>31.818462509542822</v>
      </c>
      <c r="DS156" s="270">
        <f t="shared" si="77"/>
        <v>3.2044741627301147E-4</v>
      </c>
      <c r="DT156" s="270">
        <f t="shared" si="78"/>
        <v>8.9084381723897182E-2</v>
      </c>
      <c r="DU156" s="270">
        <f t="shared" si="79"/>
        <v>2.0432012923414704</v>
      </c>
      <c r="DW156" s="278"/>
      <c r="DX156" s="278" t="s">
        <v>305</v>
      </c>
      <c r="DY156" s="281">
        <f t="shared" si="87"/>
        <v>33.861663801884291</v>
      </c>
      <c r="DZ156" s="281">
        <f t="shared" si="88"/>
        <v>8.94048291401702E-2</v>
      </c>
      <c r="EB156" s="278"/>
      <c r="EC156" s="278" t="s">
        <v>305</v>
      </c>
      <c r="ED156" s="281">
        <f t="shared" si="89"/>
        <v>33.861663801884291</v>
      </c>
      <c r="EE156" s="281">
        <f t="shared" si="80"/>
        <v>8.94048291401702E-2</v>
      </c>
      <c r="EL156" s="306" t="s">
        <v>668</v>
      </c>
      <c r="EM156" s="306" t="s">
        <v>221</v>
      </c>
      <c r="EN156" s="306">
        <v>22244.514299999999</v>
      </c>
      <c r="EO156" s="306">
        <v>0.11978017675227419</v>
      </c>
      <c r="EP156" s="307">
        <v>849111</v>
      </c>
      <c r="EQ156" s="308">
        <f t="shared" si="90"/>
        <v>544.27179357489013</v>
      </c>
      <c r="ER156" s="308">
        <f t="shared" si="91"/>
        <v>1.4370388589018244</v>
      </c>
      <c r="ET156" s="420" t="s">
        <v>668</v>
      </c>
      <c r="EU156" s="420" t="s">
        <v>221</v>
      </c>
      <c r="EV156" s="420">
        <v>22244.514299999999</v>
      </c>
      <c r="EW156" s="420">
        <v>0.11978017675227419</v>
      </c>
      <c r="EX156" s="421">
        <v>849111</v>
      </c>
      <c r="EY156" s="422">
        <f t="shared" si="92"/>
        <v>528.76004745800583</v>
      </c>
      <c r="EZ156" s="422">
        <f t="shared" si="81"/>
        <v>1.3960832514231225</v>
      </c>
      <c r="FA156">
        <v>0</v>
      </c>
      <c r="FD156" s="306" t="s">
        <v>668</v>
      </c>
      <c r="FE156" s="306" t="s">
        <v>221</v>
      </c>
      <c r="FF156" s="306">
        <v>22244.514299999999</v>
      </c>
      <c r="FG156" s="306">
        <v>0.11978017675227419</v>
      </c>
      <c r="FH156" s="307">
        <v>849111</v>
      </c>
      <c r="FI156" s="308">
        <f t="shared" si="82"/>
        <v>528.76004745800583</v>
      </c>
      <c r="FJ156" s="308">
        <f t="shared" si="83"/>
        <v>1.3960832514231225</v>
      </c>
      <c r="FL156" s="101"/>
      <c r="FM156" s="101"/>
      <c r="FN156" s="101"/>
      <c r="FO156" s="101"/>
      <c r="FP156" s="374"/>
      <c r="FQ156" s="404"/>
      <c r="FR156" s="404"/>
    </row>
    <row r="157" spans="1:174" ht="25">
      <c r="A157" s="205"/>
      <c r="B157" s="205" t="s">
        <v>47</v>
      </c>
      <c r="C157" s="400">
        <f>$AB72*KTDB_TripDistribution_2025!T$12 * (1+KTDB_발생량도착량_증가율!$C$7*2)</f>
        <v>923.49110111214111</v>
      </c>
      <c r="D157" s="400">
        <f>$AB72*KTDB_TripDistribution_2025!U$12 * (1+KTDB_발생량도착량_증가율!$C$7*2)</f>
        <v>6683.494028129996</v>
      </c>
      <c r="E157" s="400">
        <f>$AB72*KTDB_TripDistribution_2025!V$12 * (1+KTDB_발생량도착량_증가율!$C$7*2)</f>
        <v>383.41550935691077</v>
      </c>
      <c r="F157" s="400">
        <f>$AB72*KTDB_TripDistribution_2025!W$12 * (1+KTDB_발생량도착량_증가율!$C$7*2)</f>
        <v>0.60253877845507076</v>
      </c>
      <c r="G157" s="400">
        <f>$AB72*KTDB_TripDistribution_2025!X$12 * (1+KTDB_발생량도착량_증가율!$C$7*2)</f>
        <v>2.2762576074969423</v>
      </c>
      <c r="H157" s="400">
        <f>$AB72*KTDB_TripDistribution_2025!Y$12 * (1+KTDB_발생량도착량_증가율!$C$7*2)</f>
        <v>7993.2794349850019</v>
      </c>
      <c r="I157" s="56"/>
      <c r="J157" s="56"/>
      <c r="K157" s="206"/>
      <c r="L157" s="206" t="s">
        <v>47</v>
      </c>
      <c r="M157" s="206">
        <f>INDEX($A$145:$H$158,MATCH($L157,$B$145:$B$158,0),MATCH($M$144,$A$145:$H$145,0))*고양시_Modal_split!C$3 * 0.01</f>
        <v>2.5857750831139947</v>
      </c>
      <c r="N157" s="206">
        <f>INDEX($A$145:$H$158,MATCH($L157,$B$145:$B$158,0),MATCH($M$144,$A$145:$H$145,0))*고양시_Modal_split!D$3 * 0.01</f>
        <v>434.31786485304002</v>
      </c>
      <c r="O157" s="206">
        <f>INDEX($A$145:$H$158,MATCH($L157,$B$145:$B$158,0),MATCH($M$144,$A$145:$H$145,0))*고양시_Modal_split!E$3 * 0.01</f>
        <v>52.546643653280825</v>
      </c>
      <c r="P157" s="206">
        <f>INDEX($A$145:$H$158,MATCH($L157,$B$145:$B$158,0),MATCH($M$144,$A$145:$H$145,0))*고양시_Modal_split!F$3 * 0.01</f>
        <v>84.684133971983343</v>
      </c>
      <c r="Q157" s="206">
        <f>INDEX($A$145:$H$158,MATCH($L157,$B$145:$B$158,0),MATCH($M$144,$A$145:$H$145,0))*고양시_Modal_split!G$3 * 0.01</f>
        <v>8.4961181302316966</v>
      </c>
      <c r="R157" s="206">
        <f>INDEX($A$145:$H$158,MATCH($L157,$B$145:$B$158,0),MATCH($M$144,$A$145:$H$145,0))*고양시_Modal_split!H$3 * 0.01</f>
        <v>9.2349110111214119E-2</v>
      </c>
      <c r="S157" s="206">
        <f>INDEX($A$145:$H$158,MATCH($L157,$B$145:$B$158,0),MATCH($M$144,$A$145:$H$145,0))*고양시_Modal_split!I$3 * 0.01</f>
        <v>25.673052610917523</v>
      </c>
      <c r="T157" s="206">
        <f>INDEX($A$145:$H$158,MATCH($L157,$B$145:$B$158,0),MATCH($M$144,$A$145:$H$145,0))*고양시_Modal_split!J$3 * 0.01</f>
        <v>281.11069117853577</v>
      </c>
      <c r="U157" s="206">
        <f>INDEX($A$145:$H$158,MATCH($L157,$B$145:$B$158,0),MATCH($M$144,$A$145:$H$145,0))*고양시_Modal_split!K$3 * 0.01</f>
        <v>1.3852366516682115</v>
      </c>
      <c r="V157" s="206">
        <f>INDEX($A$145:$H$158,MATCH($L157,$B$145:$B$158,0),MATCH($M$144,$A$145:$H$145,0))*고양시_Modal_split!L$3 * 0.01</f>
        <v>27.889431253586665</v>
      </c>
      <c r="W157" s="206">
        <f>INDEX($A$145:$H$158,MATCH($L157,$B$145:$B$158,0),MATCH($M$144,$A$145:$H$145,0))*고양시_Modal_split!M$3 * 0.01</f>
        <v>2.1240295325579241</v>
      </c>
      <c r="X157" s="206">
        <f>INDEX($A$145:$H$158,MATCH($L157,$B$145:$B$158,0),MATCH($M$144,$A$145:$H$145,0))*고양시_Modal_split!N$3 * 0.01</f>
        <v>0.92349110111214117</v>
      </c>
      <c r="Y157" s="206">
        <f>INDEX($A$145:$H$158,MATCH($L157,$B$145:$B$158,0),MATCH($M$144,$A$145:$H$145,0))*고양시_Modal_split!O$3 * 0.01</f>
        <v>1.6622839820018538</v>
      </c>
      <c r="Z157" s="209">
        <f>INDEX($A$145:$H$158,MATCH($L157,$B$145:$B$158,0),MATCH($M$144,$A$145:$H$145,0))*고양시_Modal_split!P$3 * 0.01</f>
        <v>923.49110111214111</v>
      </c>
      <c r="AA157" s="207">
        <f>INDEX($A$145:$H$158,MATCH($L157,$B$145:$B$158,0),MATCH($AA$144,$A$145:$H$145,0))*고양시_Modal_split!C$3 * 0.01</f>
        <v>18.713783278763987</v>
      </c>
      <c r="AB157" s="207">
        <f>INDEX($A$145:$H$158,MATCH($L157,$B$145:$B$158,0),MATCH($AA$144,$A$145:$H$145,0))*고양시_Modal_split!D$3 * 0.01</f>
        <v>3143.2472414295371</v>
      </c>
      <c r="AC157" s="207">
        <f>INDEX($A$145:$H$158,MATCH($L157,$B$145:$B$158,0),MATCH($AA$144,$A$145:$H$145,0))*고양시_Modal_split!E$3 * 0.01</f>
        <v>380.29081020059675</v>
      </c>
      <c r="AD157" s="207">
        <f>INDEX($A$145:$H$158,MATCH($L157,$B$145:$B$158,0),MATCH($AA$144,$A$145:$H$145,0))*고양시_Modal_split!F$3 * 0.01</f>
        <v>612.87640237952064</v>
      </c>
      <c r="AE157" s="207">
        <f>INDEX($A$145:$H$158,MATCH($L157,$B$145:$B$158,0),MATCH($AA$144,$A$145:$H$145,0))*고양시_Modal_split!G$3 * 0.01</f>
        <v>61.488145058795965</v>
      </c>
      <c r="AF157" s="207">
        <f>INDEX($A$145:$H$158,MATCH($L157,$B$145:$B$158,0),MATCH($AA$144,$A$145:$H$145,0))*고양시_Modal_split!H$3 * 0.01</f>
        <v>0.6683494028129997</v>
      </c>
      <c r="AG157" s="207">
        <f>INDEX($A$145:$H$158,MATCH($L157,$B$145:$B$158,0),MATCH($AA$144,$A$145:$H$145,0))*고양시_Modal_split!I$3 * 0.01</f>
        <v>185.80113398201388</v>
      </c>
      <c r="AH157" s="207">
        <f>INDEX($A$145:$H$158,MATCH($L157,$B$145:$B$158,0),MATCH($AA$144,$A$145:$H$145,0))*고양시_Modal_split!J$3 * 0.01</f>
        <v>2034.4555821627707</v>
      </c>
      <c r="AI157" s="207">
        <f>INDEX($A$145:$H$158,MATCH($L157,$B$145:$B$158,0),MATCH($AA$144,$A$145:$H$145,0))*고양시_Modal_split!K$3 * 0.01</f>
        <v>10.025241042194994</v>
      </c>
      <c r="AJ157" s="207">
        <f>INDEX($A$145:$H$158,MATCH($L157,$B$145:$B$158,0),MATCH($AA$144,$A$145:$H$145,0))*고양시_Modal_split!L$3 * 0.01</f>
        <v>201.84151964952588</v>
      </c>
      <c r="AK157" s="207">
        <f>INDEX($A$145:$H$158,MATCH($L157,$B$145:$B$158,0),MATCH($AA$144,$A$145:$H$145,0))*고양시_Modal_split!M$3 * 0.01</f>
        <v>15.372036264698991</v>
      </c>
      <c r="AL157" s="207">
        <f>INDEX($A$145:$H$158,MATCH($L157,$B$145:$B$158,0),MATCH($AA$144,$A$145:$H$145,0))*고양시_Modal_split!N$3 * 0.01</f>
        <v>6.6834940281299966</v>
      </c>
      <c r="AM157" s="207">
        <f>INDEX($A$145:$H$158,MATCH($L157,$B$145:$B$158,0),MATCH($AA$144,$A$145:$H$145,0))*고양시_Modal_split!O$3 * 0.01</f>
        <v>12.030289250633992</v>
      </c>
      <c r="AN157" s="207">
        <f>INDEX($A$145:$H$158,MATCH($L157,$B$145:$B$158,0),MATCH($AA$144,$A$145:$H$145,0))*고양시_Modal_split!P$3 * 0.01</f>
        <v>6683.494028129996</v>
      </c>
      <c r="AO157" s="303">
        <f>INDEX($A$145:$H$158,MATCH($L157,$B$145:$B$158,0),MATCH($AO$144,$A$145:$H$145,0))*고양시_Modal_split!C$3 * 0.01</f>
        <v>1.0735634261993501</v>
      </c>
      <c r="AP157" s="303">
        <f>INDEX($A$145:$H$158,MATCH($L157,$B$145:$B$158,0),MATCH($AO$144,$A$145:$H$145,0))*고양시_Modal_split!D$3 * 0.01</f>
        <v>180.32031405055514</v>
      </c>
      <c r="AQ157" s="303">
        <f>INDEX($A$145:$H$158,MATCH($L157,$B$145:$B$158,0),MATCH($AO$144,$A$145:$H$145,0))*고양시_Modal_split!E$3 * 0.01</f>
        <v>21.816342482408224</v>
      </c>
      <c r="AR157" s="303">
        <f>INDEX($A$145:$H$158,MATCH($L157,$B$145:$B$158,0),MATCH($AO$144,$A$145:$H$145,0))*고양시_Modal_split!F$3 * 0.01</f>
        <v>35.159202208028717</v>
      </c>
      <c r="AS157" s="303">
        <f>INDEX($A$145:$H$158,MATCH($L157,$B$145:$B$158,0),MATCH($AO$144,$A$145:$H$145,0))*고양시_Modal_split!G$3 * 0.01</f>
        <v>3.5274226860835789</v>
      </c>
      <c r="AT157" s="303">
        <f>INDEX($A$145:$H$158,MATCH($L157,$B$145:$B$158,0),MATCH($AO$144,$A$145:$H$145,0))*고양시_Modal_split!H$3 * 0.01</f>
        <v>3.8341550935691082E-2</v>
      </c>
      <c r="AU157" s="303">
        <f>INDEX($A$145:$H$158,MATCH($L157,$B$145:$B$158,0),MATCH($AO$144,$A$145:$H$145,0))*고양시_Modal_split!I$3 * 0.01</f>
        <v>10.65895116012212</v>
      </c>
      <c r="AV157" s="303">
        <f>INDEX($A$145:$H$158,MATCH($L157,$B$145:$B$158,0),MATCH($AO$144,$A$145:$H$145,0))*고양시_Modal_split!J$3 * 0.01</f>
        <v>116.71168104824365</v>
      </c>
      <c r="AW157" s="303">
        <f>INDEX($A$145:$H$158,MATCH($L157,$B$145:$B$158,0),MATCH($AO$144,$A$145:$H$145,0))*고양시_Modal_split!K$3 * 0.01</f>
        <v>0.57512326403536618</v>
      </c>
      <c r="AX157" s="303">
        <f>INDEX($A$145:$H$158,MATCH($L157,$B$145:$B$158,0),MATCH($AO$144,$A$145:$H$145,0))*고양시_Modal_split!L$3 * 0.01</f>
        <v>11.579148382578706</v>
      </c>
      <c r="AY157" s="303">
        <f>INDEX($A$145:$H$158,MATCH($L157,$B$145:$B$158,0),MATCH($AO$144,$A$145:$H$145,0))*고양시_Modal_split!M$3 * 0.01</f>
        <v>0.88185567152089472</v>
      </c>
      <c r="AZ157" s="303">
        <f>INDEX($A$145:$H$158,MATCH($L157,$B$145:$B$158,0),MATCH($AO$144,$A$145:$H$145,0))*고양시_Modal_split!N$3 * 0.01</f>
        <v>0.38341550935691082</v>
      </c>
      <c r="BA157" s="207">
        <f>INDEX($A$145:$H$158,MATCH($L157,$B$145:$B$158,0),MATCH($AO$144,$A$145:$H$145,0))*고양시_Modal_split!O$3 * 0.01</f>
        <v>0.69014791684243937</v>
      </c>
      <c r="BB157" s="207">
        <f>INDEX($A$145:$H$158,MATCH($L157,$B$145:$B$158,0),MATCH($AO$144,$A$145:$H$145,0))*고양시_Modal_split!P$3 * 0.01</f>
        <v>383.41550935691077</v>
      </c>
      <c r="BC157" s="207">
        <f>INDEX($A$145:$H$158,MATCH($L157,$B$145:$B$158,0),MATCH($BC$144,$A$145:$H$145,0))*고양시_Modal_split!C$3 * 0.01</f>
        <v>1.6871085796741981E-3</v>
      </c>
      <c r="BD157" s="207">
        <f>INDEX($A$145:$H$158,MATCH($L157,$B$145:$B$158,0),MATCH($BC$144,$A$145:$H$145,0))*고양시_Modal_split!D$3 * 0.01</f>
        <v>0.28337398750741982</v>
      </c>
      <c r="BE157" s="207">
        <f>INDEX($A$145:$H$158,MATCH($L157,$B$145:$B$158,0),MATCH($BC$144,$A$145:$H$145,0))*고양시_Modal_split!E$3 * 0.01</f>
        <v>3.4284456494093528E-2</v>
      </c>
      <c r="BF157" s="207">
        <f>INDEX($A$145:$H$158,MATCH($L157,$B$145:$B$158,0),MATCH($BC$144,$A$145:$H$145,0))*고양시_Modal_split!F$3 * 0.01</f>
        <v>5.5252805984329988E-2</v>
      </c>
      <c r="BG157" s="207">
        <f>INDEX($A$145:$H$158,MATCH($L157,$B$145:$B$158,0),MATCH($BC$144,$A$145:$H$145,0))*고양시_Modal_split!G$3 * 0.01</f>
        <v>5.5433567617866513E-3</v>
      </c>
      <c r="BH157" s="207">
        <f>INDEX($A$145:$H$158,MATCH($L157,$B$145:$B$158,0),MATCH($BC$144,$A$145:$H$145,0))*고양시_Modal_split!H$3 * 0.01</f>
        <v>6.0253877845507075E-5</v>
      </c>
      <c r="BI157" s="207">
        <f>INDEX($A$145:$H$158,MATCH($L157,$B$145:$B$158,0),MATCH($BC$144,$A$145:$H$145,0))*고양시_Modal_split!I$3 * 0.01</f>
        <v>1.6750578041050967E-2</v>
      </c>
      <c r="BJ157" s="207">
        <f>INDEX($A$145:$H$158,MATCH($L157,$B$145:$B$158,0),MATCH($BC$144,$A$145:$H$145,0))*고양시_Modal_split!J$3 * 0.01</f>
        <v>0.18341280416172354</v>
      </c>
      <c r="BK157" s="207">
        <f>INDEX($A$145:$H$158,MATCH($L157,$B$145:$B$158,0),MATCH($BC$144,$A$145:$H$145,0))*고양시_Modal_split!K$3 * 0.01</f>
        <v>9.0380816768260617E-4</v>
      </c>
      <c r="BL157" s="207">
        <f>INDEX($A$145:$H$158,MATCH($L157,$B$145:$B$158,0),MATCH($BC$144,$A$145:$H$145,0))*고양시_Modal_split!L$3 * 0.01</f>
        <v>1.8196671109343136E-2</v>
      </c>
      <c r="BM157" s="207">
        <f>INDEX($A$145:$H$158,MATCH($L157,$B$145:$B$158,0),MATCH($BC$144,$A$145:$H$145,0))*고양시_Modal_split!M$3 * 0.01</f>
        <v>1.3858391904466628E-3</v>
      </c>
      <c r="BN157" s="207">
        <f>INDEX($A$145:$H$158,MATCH($L157,$B$145:$B$158,0),MATCH($BC$144,$A$145:$H$145,0))*고양시_Modal_split!N$3 * 0.01</f>
        <v>6.0253877845507081E-4</v>
      </c>
      <c r="BO157" s="207">
        <f>INDEX($A$145:$H$158,MATCH($L157,$B$145:$B$158,0),MATCH($BC$144,$A$145:$H$145,0))*고양시_Modal_split!O$3 * 0.01</f>
        <v>1.0845698012191274E-3</v>
      </c>
      <c r="BP157" s="207">
        <f>INDEX($A$145:$H$158,MATCH($L157,$B$145:$B$158,0),MATCH($BC$144,$A$145:$H$145,0))*고양시_Modal_split!P$3 * 0.01</f>
        <v>0.60253877845507076</v>
      </c>
      <c r="BQ157" s="207">
        <f>INDEX($A$145:$H$158,MATCH($L157,$B$145:$B$158,0),MATCH($BQ$144,$A$145:$H$145,0))*고양시_Modal_split!C$3 * 0.01</f>
        <v>6.3735213009914384E-3</v>
      </c>
      <c r="BR157" s="207">
        <f>INDEX($A$145:$H$158,MATCH($L157,$B$145:$B$158,0),MATCH($BQ$144,$A$145:$H$145,0))*고양시_Modal_split!D$3 * 0.01</f>
        <v>1.0705239528058119</v>
      </c>
      <c r="BS157" s="207">
        <f>INDEX($A$145:$H$158,MATCH($L157,$B$145:$B$158,0),MATCH($BQ$144,$A$145:$H$145,0))*고양시_Modal_split!E$3 * 0.01</f>
        <v>0.12951905786657603</v>
      </c>
      <c r="BT157" s="207">
        <f>INDEX($A$145:$H$158,MATCH($L157,$B$145:$B$158,0),MATCH($BQ$144,$A$145:$H$145,0))*고양시_Modal_split!F$3 * 0.01</f>
        <v>0.20873282260746961</v>
      </c>
      <c r="BU157" s="207">
        <f>INDEX($A$145:$H$158,MATCH($L157,$B$145:$B$158,0),MATCH($BQ$144,$A$145:$H$145,0))*고양시_Modal_split!G$3 * 0.01</f>
        <v>2.0941569988971866E-2</v>
      </c>
      <c r="BV157" s="207">
        <f>INDEX($A$145:$H$158,MATCH($L157,$B$145:$B$158,0),MATCH($BQ$144,$A$145:$H$145,0))*고양시_Modal_split!H$3 * 0.01</f>
        <v>2.2762576074969424E-4</v>
      </c>
      <c r="BW157" s="207">
        <f>INDEX($A$145:$H$158,MATCH($L157,$B$145:$B$158,0),MATCH($BQ$144,$A$145:$H$145,0))*고양시_Modal_split!I$3 * 0.01</f>
        <v>6.3279961488414985E-2</v>
      </c>
      <c r="BX157" s="207">
        <f>INDEX($A$145:$H$158,MATCH($L157,$B$145:$B$158,0),MATCH($BQ$144,$A$145:$H$145,0))*고양시_Modal_split!J$3 * 0.01</f>
        <v>0.69289281572206929</v>
      </c>
      <c r="BY157" s="207">
        <f>INDEX($A$145:$H$158,MATCH($L157,$B$145:$B$158,0),MATCH($BQ$144,$A$145:$H$145,0))*고양시_Modal_split!K$3 * 0.01</f>
        <v>3.4143864112454133E-3</v>
      </c>
      <c r="BZ157" s="207">
        <f>INDEX($A$145:$H$158,MATCH($L157,$B$145:$B$158,0),MATCH($BQ$144,$A$145:$H$145,0))*고양시_Modal_split!L$3 * 0.01</f>
        <v>6.8742979746407654E-2</v>
      </c>
      <c r="CA157" s="207">
        <f>INDEX($A$145:$H$158,MATCH($L157,$B$145:$B$158,0),MATCH($BQ$144,$A$145:$H$145,0))*고양시_Modal_split!M$3 * 0.01</f>
        <v>5.2353924972429666E-3</v>
      </c>
      <c r="CB157" s="207">
        <f>INDEX($A$145:$H$158,MATCH($L157,$B$145:$B$158,0),MATCH($BQ$144,$A$145:$H$145,0))*고양시_Modal_split!N$3 * 0.01</f>
        <v>2.2762576074969424E-3</v>
      </c>
      <c r="CC157" s="207">
        <f>INDEX($A$145:$H$158,MATCH($L157,$B$145:$B$158,0),MATCH($BQ$144,$A$145:$H$145,0))*고양시_Modal_split!O$3 * 0.01</f>
        <v>4.0972636934944965E-3</v>
      </c>
      <c r="CD157" s="207">
        <f>INDEX($A$145:$H$158,MATCH($L157,$B$145:$B$158,0),MATCH($BQ$144,$A$145:$H$145,0))*고양시_Modal_split!P$3 * 0.01</f>
        <v>2.2762576074969423</v>
      </c>
      <c r="CE157" s="304">
        <f t="shared" si="84"/>
        <v>22.381182417957994</v>
      </c>
      <c r="CF157" s="304">
        <f t="shared" si="64"/>
        <v>3759.2393182734454</v>
      </c>
      <c r="CG157" s="304">
        <f t="shared" si="65"/>
        <v>454.8175998506465</v>
      </c>
      <c r="CH157" s="304">
        <f t="shared" si="66"/>
        <v>732.98372418812448</v>
      </c>
      <c r="CI157" s="304">
        <f t="shared" si="67"/>
        <v>73.538170801862009</v>
      </c>
      <c r="CJ157" s="304">
        <f t="shared" si="68"/>
        <v>0.7993279434985</v>
      </c>
      <c r="CK157" s="304">
        <f t="shared" si="69"/>
        <v>222.21316829258296</v>
      </c>
      <c r="CL157" s="304">
        <f t="shared" si="70"/>
        <v>2433.154260009434</v>
      </c>
      <c r="CM157" s="304">
        <f t="shared" si="71"/>
        <v>11.9899191524775</v>
      </c>
      <c r="CN157" s="304">
        <f t="shared" si="72"/>
        <v>241.39703893654701</v>
      </c>
      <c r="CO157" s="304">
        <f t="shared" si="73"/>
        <v>18.384542700465502</v>
      </c>
      <c r="CP157" s="304">
        <f t="shared" si="74"/>
        <v>7.9932794349850012</v>
      </c>
      <c r="CQ157" s="304">
        <f t="shared" si="75"/>
        <v>14.387902982972999</v>
      </c>
      <c r="CR157" s="304">
        <f t="shared" si="76"/>
        <v>7993.2794349849992</v>
      </c>
      <c r="CS157" s="305">
        <f t="shared" si="85"/>
        <v>0</v>
      </c>
      <c r="CV157" s="267"/>
      <c r="CW157" s="267" t="s">
        <v>47</v>
      </c>
      <c r="CX157" s="267">
        <f>INDEX($M$144:$Z$158,MATCH($CW157,$L$144:$L$158,0),MATCH(CX$145,$M$145:$Z$145,0))/INDEX(고양시_재차인원!$D$4:$H$35,MATCH("고양시",고양시_재차인원!$B$4:$B$35,0),MATCH($CX$144,고양시_재차인원!$D$4:$H$4,0))</f>
        <v>387.78380790450001</v>
      </c>
      <c r="CY157" s="267">
        <f>INDEX($M$144:$Z$158,MATCH($CW157,$L$144:$L$158,0),MATCH(CY$145,$M$145:$Z$145,0))/INDEX(고양시_재차인원!$K$4:$O$20,MATCH("경기도",고양시_재차인원!$K$4:$K$20,0),MATCH(CY$145,고양시_재차인원!$K$4:$O$4,0))</f>
        <v>3.2076801011189345E-3</v>
      </c>
      <c r="CZ157" s="267">
        <f>INDEX($M$144:$Z$158,MATCH($CW157,$L$144:$L$158,0),MATCH(CZ$145,$M$145:$Z$145,0))/INDEX(고양시_재차인원!$K$4:$O$20,MATCH("경기도",고양시_재차인원!$K$4:$K$20,0),MATCH(CZ$145,고양시_재차인원!$K$4:$O$4,0))</f>
        <v>0.89173506811106373</v>
      </c>
      <c r="DA157" s="267">
        <f>INDEX($M$144:$Z$158,MATCH($CW157,$L$144:$L$158,0),MATCH(DA$145,$M$145:$Z$145,0))/INDEX(고양시_재차인원!$D$4:$H$35,MATCH("고양시",고양시_재차인원!$B$4:$B$35,0),MATCH($CX$144,고양시_재차인원!$D$4:$H$4,0))</f>
        <v>24.901277904988092</v>
      </c>
      <c r="DB157" s="267">
        <f>INDEX($AA$144:$AN$158,MATCH($CW157,$L$144:$L$158,0),MATCH(DB$145,$AA$145:$AN$145,0))/INDEX(고양시_재차인원!$D$4:$H$35,MATCH("고양시",고양시_재차인원!$B$4:$B$35,0),MATCH($DB$144,고양시_재차인원!$D$4:$H$4,0))</f>
        <v>2229.2533627159837</v>
      </c>
      <c r="DC157" s="267">
        <f>INDEX($AA$144:$AN$158,MATCH($CW157,$L$144:$L$158,0),MATCH(DC$145,$AA$145:$AN$145,0))/INDEX(고양시_재차인원!$K$4:$O$20,MATCH("경기도",고양시_재차인원!$K$4:$K$20,0),MATCH(DC$145,고양시_재차인원!$K$4:$O$4,0))</f>
        <v>2.3214637124452927E-2</v>
      </c>
      <c r="DD157" s="267">
        <f>INDEX($AA$144:$AN$158,MATCH($CW157,$L$144:$L$158,0),MATCH(DD$145,$AA$145:$AN$145,0))/INDEX(고양시_재차인원!$K$4:$O$20,MATCH("경기도",고양시_재차인원!$K$4:$K$20,0),MATCH(DD$145,고양시_재차인원!$K$4:$O$4,0))</f>
        <v>6.4536691205979118</v>
      </c>
      <c r="DE157" s="267">
        <f>INDEX($AA$144:$AN$158,MATCH($CW157,$L$144:$L$158,0),MATCH(DE$145,$AA$145:$AN$145,0))/INDEX(고양시_재차인원!$D$4:$H$35,MATCH("고양시",고양시_재차인원!$B$4:$B$35,0),MATCH($DB$144,고양시_재차인원!$D$4:$H$4,0))</f>
        <v>143.15001393583395</v>
      </c>
      <c r="DF157" s="267">
        <f>INDEX($AO$144:$BB$158,MATCH($CW157,$L$144:$L$158,0),MATCH(DF$145,$AO$145:$BB$145,0))/INDEX(고양시_재차인원!$D$4:$H$35,MATCH("고양시",고양시_재차인원!$B$4:$B$35,0),MATCH($DF$144,고양시_재차인원!$D$4:$H$4,0))</f>
        <v>138.70793388504242</v>
      </c>
      <c r="DG157" s="267">
        <f>INDEX($AO$144:$BB$158,MATCH($CW157,$L$144:$L$158,0),MATCH(DG$145,$AO$145:$BB$145,0))/INDEX(고양시_재차인원!$K$4:$O$20,MATCH("경기도",고양시_재차인원!$K$4:$K$20,0),MATCH(DG$145,고양시_재차인원!$K$4:$O$4,0))</f>
        <v>1.3317662707777382E-3</v>
      </c>
      <c r="DH157" s="267">
        <f>INDEX($AO$144:$BB$158,MATCH($CW157,$L$144:$L$158,0),MATCH(DH$145,$AO$145:$BB$145,0))/INDEX(고양시_재차인원!$K$4:$O$20,MATCH("경기도",고양시_재차인원!$K$4:$K$20,0),MATCH(DH$145,고양시_재차인원!$K$4:$O$4,0))</f>
        <v>0.37023102327621121</v>
      </c>
      <c r="DI157" s="267">
        <f>INDEX($AO$144:$BB$158,MATCH($CW157,$L$144:$L$158,0),MATCH(DI$145,$AO$145:$BB$145,0))/INDEX(고양시_재차인원!$D$4:$H$35,MATCH("고양시",고양시_재차인원!$B$4:$B$35,0),MATCH($DF$144,고양시_재차인원!$D$4:$H$4,0))</f>
        <v>8.9070372173682362</v>
      </c>
      <c r="DJ157" s="267">
        <f>INDEX($BC$144:$BP$158,MATCH($CW157,$L$144:$L$158,0),MATCH(DJ$145,$BC$145:$BP$145,0))/INDEX(고양시_재차인원!$D$4:$H$35,MATCH("고양시",고양시_재차인원!$B$4:$B$35,0),MATCH($DJ$144,고양시_재차인원!$D$4:$H$4,0))</f>
        <v>0.20836322610839692</v>
      </c>
      <c r="DK157" s="267">
        <f>INDEX($BC$144:$BP$158,MATCH($CW157,$L$144:$L$158,0),MATCH(DK$145,$BC$145:$BP$145,0))/INDEX(고양시_재차인원!$K$4:$O$20,MATCH("경기도",고양시_재차인원!$K$4:$K$20,0),MATCH(DK$145,고양시_재차인원!$K$4:$O$4,0))</f>
        <v>2.0928752290902075E-6</v>
      </c>
      <c r="DL157" s="267">
        <f>INDEX($BC$144:$BP$158,MATCH($CW157,$L$144:$L$158,0),MATCH(DL$145,$BC$145:$BP$145,0))/INDEX(고양시_재차인원!$K$4:$O$20,MATCH("경기도",고양시_재차인원!$K$4:$K$20,0),MATCH(DL$145,고양시_재차인원!$K$4:$O$4,0))</f>
        <v>5.8181931368707774E-4</v>
      </c>
      <c r="DM157" s="267">
        <f>INDEX($BC$144:$BP$158,MATCH($CW157,$L$144:$L$158,0),MATCH(DM$145,$BC$145:$BP$145,0))/INDEX(고양시_재차인원!$D$4:$H$35,MATCH("고양시",고양시_재차인원!$B$4:$B$35,0),MATCH($DJ$144,고양시_재차인원!$D$4:$H$4,0))</f>
        <v>1.3379905227458187E-2</v>
      </c>
      <c r="DN157" s="267">
        <f>INDEX($BQ$144:$CD$158,MATCH($CW157,$L$144:$L$158,0),MATCH(DN$145,$BQ$145:$CD$145,0))/INDEX(고양시_재차인원!$D$4:$H$35,MATCH("고양시",고양시_재차인원!$B$4:$B$35,0),MATCH($DN$144,고양시_재차인원!$D$4:$H$4,0))</f>
        <v>0.84962218476651741</v>
      </c>
      <c r="DO157" s="267">
        <f>INDEX($BQ$144:$CD$158,MATCH($CW157,$L$144:$L$158,0),MATCH(DO$145,$BQ$145:$CD$145,0))/INDEX(고양시_재차인원!$K$4:$O$20,MATCH("경기도",고양시_재차인원!$K$4:$K$20,0),MATCH(DO$145,고양시_재차인원!$K$4:$O$4,0))</f>
        <v>7.9064175321185921E-6</v>
      </c>
      <c r="DP157" s="267">
        <f>INDEX($BQ$144:$CD$158,MATCH($CW157,$L$144:$L$158,0),MATCH(DP$145,$BQ$145:$CD$145,0))/INDEX(고양시_재차인원!$K$4:$O$20,MATCH("경기도",고양시_재차인원!$K$4:$K$20,0),MATCH(DP$145,고양시_재차인원!$K$4:$O$4,0))</f>
        <v>2.197984073928968E-3</v>
      </c>
      <c r="DQ157" s="267">
        <f>INDEX($BQ$144:$CD$158,MATCH($CW157,$L$144:$L$158,0),MATCH(DQ$145,$BQ$145:$CD$145,0))/INDEX(고양시_재차인원!$D$4:$H$35,MATCH("고양시",고양시_재차인원!$B$4:$B$35,0),MATCH($DN$144,고양시_재차인원!$D$4:$H$4,0))</f>
        <v>5.455792043365687E-2</v>
      </c>
      <c r="DR157" s="270">
        <f t="shared" si="86"/>
        <v>2756.8030899164009</v>
      </c>
      <c r="DS157" s="270">
        <f t="shared" si="77"/>
        <v>2.7764082789110807E-2</v>
      </c>
      <c r="DT157" s="270">
        <f t="shared" si="78"/>
        <v>7.7184150153728037</v>
      </c>
      <c r="DU157" s="270">
        <f t="shared" si="79"/>
        <v>177.02626688385141</v>
      </c>
      <c r="DW157" s="278"/>
      <c r="DX157" s="278" t="s">
        <v>47</v>
      </c>
      <c r="DY157" s="281">
        <f t="shared" si="87"/>
        <v>2933.8293568002523</v>
      </c>
      <c r="DZ157" s="281">
        <f t="shared" si="88"/>
        <v>7.7461790981619147</v>
      </c>
      <c r="EB157" s="278"/>
      <c r="EC157" s="278" t="s">
        <v>47</v>
      </c>
      <c r="ED157" s="281">
        <f t="shared" si="89"/>
        <v>2933.8293568002523</v>
      </c>
      <c r="EE157" s="281">
        <f t="shared" si="80"/>
        <v>7.7461790981619147</v>
      </c>
      <c r="EL157" s="306" t="s">
        <v>668</v>
      </c>
      <c r="EM157" s="306" t="s">
        <v>372</v>
      </c>
      <c r="EN157" s="306">
        <v>20007.53</v>
      </c>
      <c r="EO157" s="306">
        <v>0.10773467325274116</v>
      </c>
      <c r="EP157" s="307">
        <v>849112</v>
      </c>
      <c r="EQ157" s="308">
        <f t="shared" si="90"/>
        <v>489.53796388817636</v>
      </c>
      <c r="ER157" s="308">
        <f t="shared" si="91"/>
        <v>1.2925253252503706</v>
      </c>
      <c r="ET157" s="420" t="s">
        <v>668</v>
      </c>
      <c r="EU157" s="420" t="s">
        <v>372</v>
      </c>
      <c r="EV157" s="420">
        <v>20007.53</v>
      </c>
      <c r="EW157" s="420">
        <v>0.10773467325274116</v>
      </c>
      <c r="EX157" s="421">
        <v>849112</v>
      </c>
      <c r="EY157" s="422">
        <f t="shared" si="92"/>
        <v>475.58613191736333</v>
      </c>
      <c r="EZ157" s="422">
        <f t="shared" si="81"/>
        <v>1.255688353480735</v>
      </c>
      <c r="FA157">
        <v>0</v>
      </c>
      <c r="FD157" s="306" t="s">
        <v>668</v>
      </c>
      <c r="FE157" s="306" t="s">
        <v>372</v>
      </c>
      <c r="FF157" s="306">
        <v>20007.53</v>
      </c>
      <c r="FG157" s="306">
        <v>0.10773467325274116</v>
      </c>
      <c r="FH157" s="307">
        <v>849112</v>
      </c>
      <c r="FI157" s="308">
        <f t="shared" si="82"/>
        <v>475.58613191736333</v>
      </c>
      <c r="FJ157" s="308">
        <f t="shared" si="83"/>
        <v>1.255688353480735</v>
      </c>
      <c r="FL157" s="101"/>
      <c r="FM157" s="101"/>
      <c r="FN157" s="101"/>
      <c r="FO157" s="101"/>
      <c r="FP157" s="374"/>
      <c r="FQ157" s="404"/>
      <c r="FR157" s="404"/>
    </row>
    <row r="158" spans="1:174">
      <c r="A158" s="205"/>
      <c r="B158" s="205" t="s">
        <v>677</v>
      </c>
      <c r="C158" s="400">
        <f>$AB73*KTDB_TripDistribution_2025!T$12 * (1+KTDB_발생량도착량_증가율!$C$7*2)</f>
        <v>5917.0217071591032</v>
      </c>
      <c r="D158" s="400">
        <f>$AB73*KTDB_TripDistribution_2025!U$12 * (1+KTDB_발생량도착량_증가율!$C$7*2)</f>
        <v>42822.696609083228</v>
      </c>
      <c r="E158" s="400">
        <f>$AB73*KTDB_TripDistribution_2025!V$12 * (1+KTDB_발생량도착량_증가율!$C$7*2)</f>
        <v>2456.6321093881511</v>
      </c>
      <c r="F158" s="400">
        <f>$AB73*KTDB_TripDistribution_2025!W$12 * (1+KTDB_발생량도착량_증가율!$C$7*2)</f>
        <v>3.8606057245492083</v>
      </c>
      <c r="G158" s="400">
        <f>$AB73*KTDB_TripDistribution_2025!X$12 * (1+KTDB_발생량도착량_증가율!$C$7*2)</f>
        <v>14.58451051496373</v>
      </c>
      <c r="H158" s="400">
        <f>$AB73*KTDB_TripDistribution_2025!Y$12 * (1+KTDB_발생량도착량_증가율!$C$7*2)</f>
        <v>51214.795541870008</v>
      </c>
      <c r="I158" t="b">
        <f>H158=$AB$73 * (1+KTDB_발생량도착량_증가율!$C$7*2)</f>
        <v>1</v>
      </c>
      <c r="J158" s="230">
        <f>CR158</f>
        <v>51214.795541869993</v>
      </c>
      <c r="K158" s="206"/>
      <c r="L158" s="206" t="s">
        <v>26</v>
      </c>
      <c r="M158" s="206">
        <f>INDEX($A$145:$H$158,MATCH($L158,$B$145:$B$158,0),MATCH($M$144,$A$145:$H$145,0))*고양시_Modal_split!C$3 * 0.01</f>
        <v>16.567660780045486</v>
      </c>
      <c r="N158" s="206">
        <f>INDEX($A$145:$H$158,MATCH($L158,$B$145:$B$158,0),MATCH($M$144,$A$145:$H$145,0))*고양시_Modal_split!D$3 * 0.01</f>
        <v>2782.7753088769264</v>
      </c>
      <c r="O158" s="206">
        <f>INDEX($A$145:$H$158,MATCH($L158,$B$145:$B$158,0),MATCH($M$144,$A$145:$H$145,0))*고양시_Modal_split!E$3 * 0.01</f>
        <v>336.67853513735298</v>
      </c>
      <c r="P158" s="206">
        <f>INDEX($A$145:$H$158,MATCH($L158,$B$145:$B$158,0),MATCH($M$144,$A$145:$H$145,0))*고양시_Modal_split!F$3 * 0.01</f>
        <v>542.59089054648973</v>
      </c>
      <c r="Q158" s="206">
        <f>INDEX($A$145:$H$158,MATCH($L158,$B$145:$B$158,0),MATCH($M$144,$A$145:$H$145,0))*고양시_Modal_split!G$3 * 0.01</f>
        <v>54.436599705863749</v>
      </c>
      <c r="R158" s="206">
        <f>INDEX($A$145:$H$158,MATCH($L158,$B$145:$B$158,0),MATCH($M$144,$A$145:$H$145,0))*고양시_Modal_split!H$3 * 0.01</f>
        <v>0.59170217071591036</v>
      </c>
      <c r="S158" s="206">
        <f>INDEX($A$145:$H$158,MATCH($L158,$B$145:$B$158,0),MATCH($M$144,$A$145:$H$145,0))*고양시_Modal_split!I$3 * 0.01</f>
        <v>164.49320345902308</v>
      </c>
      <c r="T158" s="206">
        <f>INDEX($A$145:$H$158,MATCH($L158,$B$145:$B$158,0),MATCH($M$144,$A$145:$H$145,0))*고양시_Modal_split!J$3 * 0.01</f>
        <v>1801.1414076592312</v>
      </c>
      <c r="U158" s="206">
        <f>INDEX($A$145:$H$158,MATCH($L158,$B$145:$B$158,0),MATCH($M$144,$A$145:$H$145,0))*고양시_Modal_split!K$3 * 0.01</f>
        <v>8.8755325607386553</v>
      </c>
      <c r="V158" s="206">
        <f>INDEX($A$145:$H$158,MATCH($L158,$B$145:$B$158,0),MATCH($M$144,$A$145:$H$145,0))*고양시_Modal_split!L$3 * 0.01</f>
        <v>178.69405555620492</v>
      </c>
      <c r="W158" s="206">
        <f>INDEX($A$145:$H$158,MATCH($L158,$B$145:$B$158,0),MATCH($M$144,$A$145:$H$145,0))*고양시_Modal_split!M$3 * 0.01</f>
        <v>13.609149926465937</v>
      </c>
      <c r="X158" s="206">
        <f>INDEX($A$145:$H$158,MATCH($L158,$B$145:$B$158,0),MATCH($M$144,$A$145:$H$145,0))*고양시_Modal_split!N$3 * 0.01</f>
        <v>5.9170217071591038</v>
      </c>
      <c r="Y158" s="206">
        <f>INDEX($A$145:$H$158,MATCH($L158,$B$145:$B$158,0),MATCH($M$144,$A$145:$H$145,0))*고양시_Modal_split!O$3 * 0.01</f>
        <v>10.650639072886387</v>
      </c>
      <c r="Z158" s="209">
        <f>INDEX($A$145:$H$158,MATCH($L158,$B$145:$B$158,0),MATCH($M$144,$A$145:$H$145,0))*고양시_Modal_split!P$3 * 0.01</f>
        <v>5917.0217071591042</v>
      </c>
      <c r="AA158" s="207">
        <f>INDEX($A$145:$H$158,MATCH($L158,$B$145:$B$158,0),MATCH($AA$144,$A$145:$H$145,0))*고양시_Modal_split!C$3 * 0.01</f>
        <v>119.90355050543303</v>
      </c>
      <c r="AB158" s="207">
        <f>INDEX($A$145:$H$158,MATCH($L158,$B$145:$B$158,0),MATCH($AA$144,$A$145:$H$145,0))*고양시_Modal_split!D$3 * 0.01</f>
        <v>20139.514215251842</v>
      </c>
      <c r="AC158" s="207">
        <f>INDEX($A$145:$H$158,MATCH($L158,$B$145:$B$158,0),MATCH($AA$144,$A$145:$H$145,0))*고양시_Modal_split!E$3 * 0.01</f>
        <v>2436.6114370568357</v>
      </c>
      <c r="AD158" s="207">
        <f>INDEX($A$145:$H$158,MATCH($L158,$B$145:$B$158,0),MATCH($AA$144,$A$145:$H$145,0))*고양시_Modal_split!F$3 * 0.01</f>
        <v>3926.8412790529319</v>
      </c>
      <c r="AE158" s="207">
        <f>INDEX($A$145:$H$158,MATCH($L158,$B$145:$B$158,0),MATCH($AA$144,$A$145:$H$145,0))*고양시_Modal_split!G$3 * 0.01</f>
        <v>393.96880880356571</v>
      </c>
      <c r="AF158" s="207">
        <f>INDEX($A$145:$H$158,MATCH($L158,$B$145:$B$158,0),MATCH($AA$144,$A$145:$H$145,0))*고양시_Modal_split!H$3 * 0.01</f>
        <v>4.2822696609083231</v>
      </c>
      <c r="AG158" s="207">
        <f>INDEX($A$145:$H$158,MATCH($L158,$B$145:$B$158,0),MATCH($AA$144,$A$145:$H$145,0))*고양시_Modal_split!I$3 * 0.01</f>
        <v>1190.4709657325138</v>
      </c>
      <c r="AH158" s="207">
        <f>INDEX($A$145:$H$158,MATCH($L158,$B$145:$B$158,0),MATCH($AA$144,$A$145:$H$145,0))*고양시_Modal_split!J$3 * 0.01</f>
        <v>13035.228847804936</v>
      </c>
      <c r="AI158" s="207">
        <f>INDEX($A$145:$H$158,MATCH($L158,$B$145:$B$158,0),MATCH($AA$144,$A$145:$H$145,0))*고양시_Modal_split!K$3 * 0.01</f>
        <v>64.234044913624842</v>
      </c>
      <c r="AJ158" s="207">
        <f>INDEX($A$145:$H$158,MATCH($L158,$B$145:$B$158,0),MATCH($AA$144,$A$145:$H$145,0))*고양시_Modal_split!L$3 * 0.01</f>
        <v>1293.2454375943137</v>
      </c>
      <c r="AK158" s="207">
        <f>INDEX($A$145:$H$158,MATCH($L158,$B$145:$B$158,0),MATCH($AA$144,$A$145:$H$145,0))*고양시_Modal_split!M$3 * 0.01</f>
        <v>98.492202200891427</v>
      </c>
      <c r="AL158" s="207">
        <f>INDEX($A$145:$H$158,MATCH($L158,$B$145:$B$158,0),MATCH($AA$144,$A$145:$H$145,0))*고양시_Modal_split!N$3 * 0.01</f>
        <v>42.822696609083231</v>
      </c>
      <c r="AM158" s="207">
        <f>INDEX($A$145:$H$158,MATCH($L158,$B$145:$B$158,0),MATCH($AA$144,$A$145:$H$145,0))*고양시_Modal_split!O$3 * 0.01</f>
        <v>77.080853896349808</v>
      </c>
      <c r="AN158" s="207">
        <f>INDEX($A$145:$H$158,MATCH($L158,$B$145:$B$158,0),MATCH($AA$144,$A$145:$H$145,0))*고양시_Modal_split!P$3 * 0.01</f>
        <v>42822.696609083228</v>
      </c>
      <c r="AO158" s="303">
        <f>INDEX($A$145:$H$158,MATCH($L158,$B$145:$B$158,0),MATCH($AO$144,$A$145:$H$145,0))*고양시_Modal_split!C$3 * 0.01</f>
        <v>6.8785699062868222</v>
      </c>
      <c r="AP158" s="303">
        <f>INDEX($A$145:$H$158,MATCH($L158,$B$145:$B$158,0),MATCH($AO$144,$A$145:$H$145,0))*고양시_Modal_split!D$3 * 0.01</f>
        <v>1155.3540810452475</v>
      </c>
      <c r="AQ158" s="303">
        <f>INDEX($A$145:$H$158,MATCH($L158,$B$145:$B$158,0),MATCH($AO$144,$A$145:$H$145,0))*고양시_Modal_split!E$3 * 0.01</f>
        <v>139.78236702418579</v>
      </c>
      <c r="AR158" s="303">
        <f>INDEX($A$145:$H$158,MATCH($L158,$B$145:$B$158,0),MATCH($AO$144,$A$145:$H$145,0))*고양시_Modal_split!F$3 * 0.01</f>
        <v>225.27316443089344</v>
      </c>
      <c r="AS158" s="303">
        <f>INDEX($A$145:$H$158,MATCH($L158,$B$145:$B$158,0),MATCH($AO$144,$A$145:$H$145,0))*고양시_Modal_split!G$3 * 0.01</f>
        <v>22.60101540637099</v>
      </c>
      <c r="AT158" s="303">
        <f>INDEX($A$145:$H$158,MATCH($L158,$B$145:$B$158,0),MATCH($AO$144,$A$145:$H$145,0))*고양시_Modal_split!H$3 * 0.01</f>
        <v>0.24566321093881513</v>
      </c>
      <c r="AU158" s="303">
        <f>INDEX($A$145:$H$158,MATCH($L158,$B$145:$B$158,0),MATCH($AO$144,$A$145:$H$145,0))*고양시_Modal_split!I$3 * 0.01</f>
        <v>68.294372640990602</v>
      </c>
      <c r="AV158" s="303">
        <f>INDEX($A$145:$H$158,MATCH($L158,$B$145:$B$158,0),MATCH($AO$144,$A$145:$H$145,0))*고양시_Modal_split!J$3 * 0.01</f>
        <v>747.79881409775317</v>
      </c>
      <c r="AW158" s="303">
        <f>INDEX($A$145:$H$158,MATCH($L158,$B$145:$B$158,0),MATCH($AO$144,$A$145:$H$145,0))*고양시_Modal_split!K$3 * 0.01</f>
        <v>3.6849481640822268</v>
      </c>
      <c r="AX158" s="303">
        <f>INDEX($A$145:$H$158,MATCH($L158,$B$145:$B$158,0),MATCH($AO$144,$A$145:$H$145,0))*고양시_Modal_split!L$3 * 0.01</f>
        <v>74.190289703522168</v>
      </c>
      <c r="AY158" s="303">
        <f>INDEX($A$145:$H$158,MATCH($L158,$B$145:$B$158,0),MATCH($AO$144,$A$145:$H$145,0))*고양시_Modal_split!M$3 * 0.01</f>
        <v>5.6502538515927476</v>
      </c>
      <c r="AZ158" s="303">
        <f>INDEX($A$145:$H$158,MATCH($L158,$B$145:$B$158,0),MATCH($AO$144,$A$145:$H$145,0))*고양시_Modal_split!N$3 * 0.01</f>
        <v>2.4566321093881514</v>
      </c>
      <c r="BA158" s="207">
        <f>INDEX($A$145:$H$158,MATCH($L158,$B$145:$B$158,0),MATCH($AO$144,$A$145:$H$145,0))*고양시_Modal_split!O$3 * 0.01</f>
        <v>4.4219377968986722</v>
      </c>
      <c r="BB158" s="207">
        <f>INDEX($A$145:$H$158,MATCH($L158,$B$145:$B$158,0),MATCH($AO$144,$A$145:$H$145,0))*고양시_Modal_split!P$3 * 0.01</f>
        <v>2456.6321093881511</v>
      </c>
      <c r="BC158" s="207">
        <f>INDEX($A$145:$H$158,MATCH($L158,$B$145:$B$158,0),MATCH($BC$144,$A$145:$H$145,0))*고양시_Modal_split!C$3 * 0.01</f>
        <v>1.0809696028737784E-2</v>
      </c>
      <c r="BD158" s="207">
        <f>INDEX($A$145:$H$158,MATCH($L158,$B$145:$B$158,0),MATCH($BC$144,$A$145:$H$145,0))*고양시_Modal_split!D$3 * 0.01</f>
        <v>1.8156428722554927</v>
      </c>
      <c r="BE158" s="207">
        <f>INDEX($A$145:$H$158,MATCH($L158,$B$145:$B$158,0),MATCH($BC$144,$A$145:$H$145,0))*고양시_Modal_split!E$3 * 0.01</f>
        <v>0.21966846572684995</v>
      </c>
      <c r="BF158" s="207">
        <f>INDEX($A$145:$H$158,MATCH($L158,$B$145:$B$158,0),MATCH($BC$144,$A$145:$H$145,0))*고양시_Modal_split!F$3 * 0.01</f>
        <v>0.35401754494116239</v>
      </c>
      <c r="BG158" s="207">
        <f>INDEX($A$145:$H$158,MATCH($L158,$B$145:$B$158,0),MATCH($BC$144,$A$145:$H$145,0))*고양시_Modal_split!G$3 * 0.01</f>
        <v>3.5517572665852717E-2</v>
      </c>
      <c r="BH158" s="207">
        <f>INDEX($A$145:$H$158,MATCH($L158,$B$145:$B$158,0),MATCH($BC$144,$A$145:$H$145,0))*고양시_Modal_split!H$3 * 0.01</f>
        <v>3.8606057245492084E-4</v>
      </c>
      <c r="BI158" s="207">
        <f>INDEX($A$145:$H$158,MATCH($L158,$B$145:$B$158,0),MATCH($BC$144,$A$145:$H$145,0))*고양시_Modal_split!I$3 * 0.01</f>
        <v>0.10732483914246797</v>
      </c>
      <c r="BJ158" s="207">
        <f>INDEX($A$145:$H$158,MATCH($L158,$B$145:$B$158,0),MATCH($BC$144,$A$145:$H$145,0))*고양시_Modal_split!J$3 * 0.01</f>
        <v>1.175168382552779</v>
      </c>
      <c r="BK158" s="207">
        <f>INDEX($A$145:$H$158,MATCH($L158,$B$145:$B$158,0),MATCH($BC$144,$A$145:$H$145,0))*고양시_Modal_split!K$3 * 0.01</f>
        <v>5.7909085868238118E-3</v>
      </c>
      <c r="BL158" s="207">
        <f>INDEX($A$145:$H$158,MATCH($L158,$B$145:$B$158,0),MATCH($BC$144,$A$145:$H$145,0))*고양시_Modal_split!L$3 * 0.01</f>
        <v>0.11659029288138609</v>
      </c>
      <c r="BM158" s="207">
        <f>INDEX($A$145:$H$158,MATCH($L158,$B$145:$B$158,0),MATCH($BC$144,$A$145:$H$145,0))*고양시_Modal_split!M$3 * 0.01</f>
        <v>8.8793931664631794E-3</v>
      </c>
      <c r="BN158" s="207">
        <f>INDEX($A$145:$H$158,MATCH($L158,$B$145:$B$158,0),MATCH($BC$144,$A$145:$H$145,0))*고양시_Modal_split!N$3 * 0.01</f>
        <v>3.8606057245492089E-3</v>
      </c>
      <c r="BO158" s="207">
        <f>INDEX($A$145:$H$158,MATCH($L158,$B$145:$B$158,0),MATCH($BC$144,$A$145:$H$145,0))*고양시_Modal_split!O$3 * 0.01</f>
        <v>6.9490903041885743E-3</v>
      </c>
      <c r="BP158" s="207">
        <f>INDEX($A$145:$H$158,MATCH($L158,$B$145:$B$158,0),MATCH($BC$144,$A$145:$H$145,0))*고양시_Modal_split!P$3 * 0.01</f>
        <v>3.8606057245492083</v>
      </c>
      <c r="BQ158" s="207">
        <f>INDEX($A$145:$H$158,MATCH($L158,$B$145:$B$158,0),MATCH($BQ$144,$A$145:$H$145,0))*고양시_Modal_split!C$3 * 0.01</f>
        <v>4.0836629441898441E-2</v>
      </c>
      <c r="BR158" s="207">
        <f>INDEX($A$145:$H$158,MATCH($L158,$B$145:$B$158,0),MATCH($BQ$144,$A$145:$H$145,0))*고양시_Modal_split!D$3 * 0.01</f>
        <v>6.8590952951874424</v>
      </c>
      <c r="BS158" s="207">
        <f>INDEX($A$145:$H$158,MATCH($L158,$B$145:$B$158,0),MATCH($BQ$144,$A$145:$H$145,0))*고양시_Modal_split!E$3 * 0.01</f>
        <v>0.82985864830143619</v>
      </c>
      <c r="BT158" s="207">
        <f>INDEX($A$145:$H$158,MATCH($L158,$B$145:$B$158,0),MATCH($BQ$144,$A$145:$H$145,0))*고양시_Modal_split!F$3 * 0.01</f>
        <v>1.337399614222174</v>
      </c>
      <c r="BU158" s="207">
        <f>INDEX($A$145:$H$158,MATCH($L158,$B$145:$B$158,0),MATCH($BQ$144,$A$145:$H$145,0))*고양시_Modal_split!G$3 * 0.01</f>
        <v>0.1341774967376663</v>
      </c>
      <c r="BV158" s="207">
        <f>INDEX($A$145:$H$158,MATCH($L158,$B$145:$B$158,0),MATCH($BQ$144,$A$145:$H$145,0))*고양시_Modal_split!H$3 * 0.01</f>
        <v>1.4584510514963731E-3</v>
      </c>
      <c r="BW158" s="207">
        <f>INDEX($A$145:$H$158,MATCH($L158,$B$145:$B$158,0),MATCH($BQ$144,$A$145:$H$145,0))*고양시_Modal_split!I$3 * 0.01</f>
        <v>0.40544939231599164</v>
      </c>
      <c r="BX158" s="207">
        <f>INDEX($A$145:$H$158,MATCH($L158,$B$145:$B$158,0),MATCH($BQ$144,$A$145:$H$145,0))*고양시_Modal_split!J$3 * 0.01</f>
        <v>4.4395250007549594</v>
      </c>
      <c r="BY158" s="207">
        <f>INDEX($A$145:$H$158,MATCH($L158,$B$145:$B$158,0),MATCH($BQ$144,$A$145:$H$145,0))*고양시_Modal_split!K$3 * 0.01</f>
        <v>2.1876765772445596E-2</v>
      </c>
      <c r="BZ158" s="207">
        <f>INDEX($A$145:$H$158,MATCH($L158,$B$145:$B$158,0),MATCH($BQ$144,$A$145:$H$145,0))*고양시_Modal_split!L$3 * 0.01</f>
        <v>0.44045221755190467</v>
      </c>
      <c r="CA158" s="207">
        <f>INDEX($A$145:$H$158,MATCH($L158,$B$145:$B$158,0),MATCH($BQ$144,$A$145:$H$145,0))*고양시_Modal_split!M$3 * 0.01</f>
        <v>3.3544374184416574E-2</v>
      </c>
      <c r="CB158" s="207">
        <f>INDEX($A$145:$H$158,MATCH($L158,$B$145:$B$158,0),MATCH($BQ$144,$A$145:$H$145,0))*고양시_Modal_split!N$3 * 0.01</f>
        <v>1.4584510514963732E-2</v>
      </c>
      <c r="CC158" s="207">
        <f>INDEX($A$145:$H$158,MATCH($L158,$B$145:$B$158,0),MATCH($BQ$144,$A$145:$H$145,0))*고양시_Modal_split!O$3 * 0.01</f>
        <v>2.6252118926934714E-2</v>
      </c>
      <c r="CD158" s="207">
        <f>INDEX($A$145:$H$158,MATCH($L158,$B$145:$B$158,0),MATCH($BQ$144,$A$145:$H$145,0))*고양시_Modal_split!P$3 * 0.01</f>
        <v>14.584510514963732</v>
      </c>
      <c r="CE158" s="304">
        <f t="shared" si="84"/>
        <v>143.40142751723599</v>
      </c>
      <c r="CF158" s="304">
        <f t="shared" si="64"/>
        <v>24086.31834334146</v>
      </c>
      <c r="CG158" s="304">
        <f t="shared" si="65"/>
        <v>2914.121866332403</v>
      </c>
      <c r="CH158" s="304">
        <f t="shared" si="66"/>
        <v>4696.396751189478</v>
      </c>
      <c r="CI158" s="304">
        <f t="shared" si="67"/>
        <v>471.17611898520397</v>
      </c>
      <c r="CJ158" s="304">
        <f t="shared" si="68"/>
        <v>5.1214795541870002</v>
      </c>
      <c r="CK158" s="304">
        <f t="shared" si="69"/>
        <v>1423.771316063986</v>
      </c>
      <c r="CL158" s="304">
        <f t="shared" si="70"/>
        <v>15589.78376294523</v>
      </c>
      <c r="CM158" s="304">
        <f t="shared" si="71"/>
        <v>76.822193312804998</v>
      </c>
      <c r="CN158" s="304">
        <f t="shared" si="72"/>
        <v>1546.6868253644741</v>
      </c>
      <c r="CO158" s="304">
        <f t="shared" si="73"/>
        <v>117.79402974630099</v>
      </c>
      <c r="CP158" s="304">
        <f t="shared" si="74"/>
        <v>51.214795541869996</v>
      </c>
      <c r="CQ158" s="304">
        <f t="shared" si="75"/>
        <v>92.186631975365998</v>
      </c>
      <c r="CR158" s="304">
        <f t="shared" si="76"/>
        <v>51214.795541869993</v>
      </c>
      <c r="CS158" s="305">
        <f t="shared" si="85"/>
        <v>0</v>
      </c>
      <c r="CV158" s="267"/>
      <c r="CW158" s="267" t="s">
        <v>26</v>
      </c>
      <c r="CX158" s="267">
        <f>INDEX($M$144:$Z$158,MATCH($CW158,$L$144:$L$158,0),MATCH(CX$145,$M$145:$Z$145,0))/INDEX(고양시_재차인원!$D$4:$H$35,MATCH("고양시",고양시_재차인원!$B$4:$B$35,0),MATCH($CX$144,고양시_재차인원!$D$4:$H$4,0))</f>
        <v>2484.6208114972555</v>
      </c>
      <c r="CY158" s="267">
        <f>INDEX($M$144:$Z$158,MATCH($CW158,$L$144:$L$158,0),MATCH(CY$145,$M$145:$Z$145,0))/INDEX(고양시_재차인원!$K$4:$O$20,MATCH("경기도",고양시_재차인원!$K$4:$K$20,0),MATCH(CY$145,고양시_재차인원!$K$4:$O$4,0))</f>
        <v>2.0552350493779452E-2</v>
      </c>
      <c r="CZ158" s="267">
        <f>INDEX($M$144:$Z$158,MATCH($CW158,$L$144:$L$158,0),MATCH(CZ$145,$M$145:$Z$145,0))/INDEX(고양시_재차인원!$K$4:$O$20,MATCH("경기도",고양시_재차인원!$K$4:$K$20,0),MATCH(CZ$145,고양시_재차인원!$K$4:$O$4,0))</f>
        <v>5.7135534372706873</v>
      </c>
      <c r="DA158" s="267">
        <f>INDEX($M$144:$Z$158,MATCH($CW158,$L$144:$L$158,0),MATCH(DA$145,$M$145:$Z$145,0))/INDEX(고양시_재차인원!$D$4:$H$35,MATCH("고양시",고양시_재차인원!$B$4:$B$35,0),MATCH($CX$144,고양시_재차인원!$D$4:$H$4,0))</f>
        <v>159.54826388946867</v>
      </c>
      <c r="DB158" s="267">
        <f>INDEX($AA$144:$AN$158,MATCH($CW158,$L$144:$L$158,0),MATCH(DB$145,$AA$145:$AN$145,0))/INDEX(고양시_재차인원!$D$4:$H$35,MATCH("고양시",고양시_재차인원!$B$4:$B$35,0),MATCH($DB$144,고양시_재차인원!$D$4:$H$4,0))</f>
        <v>14283.34341507223</v>
      </c>
      <c r="DC158" s="267">
        <f>INDEX($AA$144:$AN$158,MATCH($CW158,$L$144:$L$158,0),MATCH(DC$145,$AA$145:$AN$145,0))/INDEX(고양시_재차인원!$K$4:$O$20,MATCH("경기도",고양시_재차인원!$K$4:$K$20,0),MATCH(DC$145,고양시_재차인원!$K$4:$O$4,0))</f>
        <v>0.14874156515833009</v>
      </c>
      <c r="DD158" s="267">
        <f>INDEX($AA$144:$AN$158,MATCH($CW158,$L$144:$L$158,0),MATCH(DD$145,$AA$145:$AN$145,0))/INDEX(고양시_재차인원!$K$4:$O$20,MATCH("경기도",고양시_재차인원!$K$4:$K$20,0),MATCH(DD$145,고양시_재차인원!$K$4:$O$4,0))</f>
        <v>41.350155114015763</v>
      </c>
      <c r="DE158" s="267">
        <f>INDEX($AA$144:$AN$158,MATCH($CW158,$L$144:$L$158,0),MATCH(DE$145,$AA$145:$AN$145,0))/INDEX(고양시_재차인원!$D$4:$H$35,MATCH("고양시",고양시_재차인원!$B$4:$B$35,0),MATCH($DB$144,고양시_재차인원!$D$4:$H$4,0))</f>
        <v>917.19534581157006</v>
      </c>
      <c r="DF158" s="267">
        <f>INDEX($AO$144:$BB$158,MATCH($CW158,$L$144:$L$158,0),MATCH(DF$145,$AO$145:$BB$145,0))/INDEX(고양시_재차인원!$D$4:$H$35,MATCH("고양시",고양시_재차인원!$B$4:$B$35,0),MATCH($DF$144,고양시_재차인원!$D$4:$H$4,0))</f>
        <v>888.73390849634427</v>
      </c>
      <c r="DG158" s="267">
        <f>INDEX($AO$144:$BB$158,MATCH($CW158,$L$144:$L$158,0),MATCH(DG$145,$AO$145:$BB$145,0))/INDEX(고양시_재차인원!$K$4:$O$20,MATCH("경기도",고양시_재차인원!$K$4:$K$20,0),MATCH(DG$145,고양시_재차인원!$K$4:$O$4,0))</f>
        <v>8.532935426843179E-3</v>
      </c>
      <c r="DH158" s="267">
        <f>INDEX($AO$144:$BB$158,MATCH($CW158,$L$144:$L$158,0),MATCH(DH$145,$AO$145:$BB$145,0))/INDEX(고양시_재차인원!$K$4:$O$20,MATCH("경기도",고양시_재차인원!$K$4:$K$20,0),MATCH(DH$145,고양시_재차인원!$K$4:$O$4,0))</f>
        <v>2.3721560486624038</v>
      </c>
      <c r="DI158" s="267">
        <f>INDEX($AO$144:$BB$158,MATCH($CW158,$L$144:$L$158,0),MATCH(DI$145,$AO$145:$BB$145,0))/INDEX(고양시_재차인원!$D$4:$H$35,MATCH("고양시",고양시_재차인원!$B$4:$B$35,0),MATCH($DF$144,고양시_재차인원!$D$4:$H$4,0))</f>
        <v>57.069453618093974</v>
      </c>
      <c r="DJ158" s="267">
        <f>INDEX($BC$144:$BP$158,MATCH($CW158,$L$144:$L$158,0),MATCH(DJ$145,$BC$145:$BP$145,0))/INDEX(고양시_재차인원!$D$4:$H$35,MATCH("고양시",고양시_재차인원!$B$4:$B$35,0),MATCH($DJ$144,고양시_재차인원!$D$4:$H$4,0))</f>
        <v>1.3350315237172738</v>
      </c>
      <c r="DK158" s="267">
        <f>INDEX($BC$144:$BP$158,MATCH($CW158,$L$144:$L$158,0),MATCH(DK$145,$BC$145:$BP$145,0))/INDEX(고양시_재차인원!$K$4:$O$20,MATCH("경기도",고양시_재차인원!$K$4:$K$20,0),MATCH(DK$145,고양시_재차인원!$K$4:$O$4,0))</f>
        <v>1.340953707728103E-5</v>
      </c>
      <c r="DL158" s="267">
        <f>INDEX($BC$144:$BP$158,MATCH($CW158,$L$144:$L$158,0),MATCH(DL$145,$BC$145:$BP$145,0))/INDEX(고양시_재차인원!$K$4:$O$20,MATCH("경기도",고양시_재차인원!$K$4:$K$20,0),MATCH(DL$145,고양시_재차인원!$K$4:$O$4,0))</f>
        <v>3.7278513074841257E-3</v>
      </c>
      <c r="DM158" s="267">
        <f>INDEX($BC$144:$BP$158,MATCH($CW158,$L$144:$L$158,0),MATCH(DM$145,$BC$145:$BP$145,0))/INDEX(고양시_재차인원!$D$4:$H$35,MATCH("고양시",고양시_재차인원!$B$4:$B$35,0),MATCH($DJ$144,고양시_재차인원!$D$4:$H$4,0))</f>
        <v>8.5728156530430935E-2</v>
      </c>
      <c r="DN158" s="267">
        <f>INDEX($BQ$144:$CD$158,MATCH($CW158,$L$144:$L$158,0),MATCH(DN$145,$BQ$145:$CD$145,0))/INDEX(고양시_재차인원!$D$4:$H$35,MATCH("고양시",고양시_재차인원!$B$4:$B$35,0),MATCH($DN$144,고양시_재차인원!$D$4:$H$4,0))</f>
        <v>5.4437264247519384</v>
      </c>
      <c r="DO158" s="267">
        <f>INDEX($BQ$144:$CD$158,MATCH($CW158,$L$144:$L$158,0),MATCH(DO$145,$BQ$145:$CD$145,0))/INDEX(고양시_재차인원!$K$4:$O$20,MATCH("경기도",고양시_재차인원!$K$4:$K$20,0),MATCH(DO$145,고양시_재차인원!$K$4:$O$4,0))</f>
        <v>5.0658251180839639E-5</v>
      </c>
      <c r="DP158" s="267">
        <f>INDEX($BQ$144:$CD$158,MATCH($CW158,$L$144:$L$158,0),MATCH(DP$145,$BQ$145:$CD$145,0))/INDEX(고양시_재차인원!$K$4:$O$20,MATCH("경기도",고양시_재차인원!$K$4:$K$20,0),MATCH(DP$145,고양시_재차인원!$K$4:$O$4,0))</f>
        <v>1.4082993828273415E-2</v>
      </c>
      <c r="DQ158" s="267">
        <f>INDEX($BQ$144:$CD$158,MATCH($CW158,$L$144:$L$158,0),MATCH(DQ$145,$BQ$145:$CD$145,0))/INDEX(고양시_재차인원!$D$4:$H$35,MATCH("고양시",고양시_재차인원!$B$4:$B$35,0),MATCH($DN$144,고양시_재차인원!$D$4:$H$4,0))</f>
        <v>0.34956525202532118</v>
      </c>
      <c r="DR158" s="270">
        <f t="shared" si="86"/>
        <v>17663.476893014304</v>
      </c>
      <c r="DS158" s="270">
        <f t="shared" si="77"/>
        <v>0.17789091886721087</v>
      </c>
      <c r="DT158" s="270">
        <f t="shared" si="78"/>
        <v>49.453675445084613</v>
      </c>
      <c r="DU158" s="270">
        <f t="shared" si="79"/>
        <v>1134.2483567276884</v>
      </c>
      <c r="DW158" s="278"/>
      <c r="DX158" s="278" t="s">
        <v>26</v>
      </c>
      <c r="DY158" s="281">
        <f t="shared" si="87"/>
        <v>18797.72524974199</v>
      </c>
      <c r="DZ158" s="281">
        <f t="shared" si="88"/>
        <v>49.631566363951826</v>
      </c>
      <c r="EC158" s="278" t="s">
        <v>26</v>
      </c>
      <c r="ED158" s="281">
        <f t="shared" si="89"/>
        <v>18797.72524974199</v>
      </c>
      <c r="EE158" s="281">
        <f t="shared" si="80"/>
        <v>49.631566363951826</v>
      </c>
      <c r="EL158" s="322" t="s">
        <v>682</v>
      </c>
      <c r="EM158" s="322" t="s">
        <v>373</v>
      </c>
      <c r="EN158" s="322">
        <v>39402.4712</v>
      </c>
      <c r="EO158" s="322">
        <v>0.21217073572212786</v>
      </c>
      <c r="EP158" s="529">
        <v>849113</v>
      </c>
      <c r="EQ158" s="324">
        <f t="shared" ref="EQ158" si="93">VLOOKUP($EL158,$EC$102:$EE$114,2,FALSE)*$EO158</f>
        <v>961.85144178167604</v>
      </c>
      <c r="ER158" s="324">
        <f t="shared" ref="ER158" si="94">VLOOKUP($EL158,$EC$102:$EE$114,3,FALSE)*$EO158</f>
        <v>2.5454762233743184</v>
      </c>
      <c r="ET158" s="420" t="s">
        <v>682</v>
      </c>
      <c r="EU158" s="420" t="s">
        <v>373</v>
      </c>
      <c r="EV158" s="412"/>
      <c r="EW158" s="412"/>
      <c r="EX158" s="421">
        <v>849113</v>
      </c>
      <c r="EY158" s="423">
        <f t="shared" si="92"/>
        <v>934.43867569089832</v>
      </c>
      <c r="EZ158" s="423">
        <f t="shared" si="81"/>
        <v>2.4729301510081503</v>
      </c>
      <c r="FA158">
        <v>0</v>
      </c>
      <c r="FD158" s="322" t="s">
        <v>370</v>
      </c>
      <c r="FE158" s="322" t="s">
        <v>373</v>
      </c>
      <c r="FF158" s="75"/>
      <c r="FG158" s="75"/>
      <c r="FH158" s="323">
        <v>849113</v>
      </c>
      <c r="FI158" s="327">
        <f t="shared" si="82"/>
        <v>934.43867569089832</v>
      </c>
      <c r="FJ158" s="327">
        <f t="shared" si="83"/>
        <v>2.4729301510081503</v>
      </c>
      <c r="FL158" s="101"/>
      <c r="FM158" s="101"/>
      <c r="FN158" s="34"/>
      <c r="FO158" s="34"/>
      <c r="FP158" s="374"/>
      <c r="FQ158" s="405"/>
      <c r="FR158" s="405"/>
    </row>
    <row r="159" spans="1:174">
      <c r="ED159" s="230" t="b">
        <f>SUM(ED146:ED157)=ED158</f>
        <v>1</v>
      </c>
      <c r="EE159" s="230" t="b">
        <f>SUM(EE146:EE157)=EE158</f>
        <v>1</v>
      </c>
      <c r="EL159" s="75" t="s">
        <v>670</v>
      </c>
      <c r="EM159" s="325" t="s">
        <v>683</v>
      </c>
      <c r="EN159" s="75">
        <v>39402.4712</v>
      </c>
      <c r="EO159" s="75">
        <v>0.19507846659237171</v>
      </c>
      <c r="EP159" s="530"/>
      <c r="EQ159" s="324">
        <f>VLOOKUP($EL159,$EC$102:$EE$114,2,FALSE)*$EO159</f>
        <v>664.75038027224934</v>
      </c>
      <c r="ER159" s="324">
        <f>VLOOKUP($EL159,$EC$102:$EE$114,3,FALSE)*$EO159</f>
        <v>1.7592179144917539</v>
      </c>
      <c r="ET159" s="420" t="s">
        <v>670</v>
      </c>
      <c r="EU159" s="420" t="s">
        <v>570</v>
      </c>
      <c r="EV159" s="420">
        <v>70189.171300000002</v>
      </c>
      <c r="EW159" s="420">
        <v>0.34750094325538916</v>
      </c>
      <c r="EX159" s="421">
        <v>849114</v>
      </c>
      <c r="EY159" s="423">
        <f t="shared" si="92"/>
        <v>645.80499443449025</v>
      </c>
      <c r="EZ159" s="423">
        <f t="shared" si="81"/>
        <v>1.7090802039287389</v>
      </c>
      <c r="FA159">
        <v>0</v>
      </c>
      <c r="FD159" s="306" t="s">
        <v>670</v>
      </c>
      <c r="FE159" s="306" t="s">
        <v>570</v>
      </c>
      <c r="FF159" s="306">
        <v>70189.171300000002</v>
      </c>
      <c r="FG159" s="306">
        <v>0.34750094325538916</v>
      </c>
      <c r="FH159" s="307">
        <v>849114</v>
      </c>
      <c r="FI159" s="326">
        <f t="shared" si="82"/>
        <v>645.80499443449025</v>
      </c>
      <c r="FJ159" s="326">
        <f t="shared" si="83"/>
        <v>1.7090802039287389</v>
      </c>
      <c r="FL159" s="101"/>
      <c r="FM159" s="101"/>
      <c r="FN159" s="101"/>
      <c r="FO159" s="101"/>
      <c r="FP159" s="374"/>
      <c r="FQ159" s="405"/>
      <c r="FR159" s="405"/>
    </row>
    <row r="160" spans="1:174">
      <c r="EL160" s="306" t="s">
        <v>670</v>
      </c>
      <c r="EM160" s="306" t="s">
        <v>570</v>
      </c>
      <c r="EN160" s="306">
        <v>70189.171300000002</v>
      </c>
      <c r="EO160" s="306">
        <v>0.34750094325538916</v>
      </c>
      <c r="EP160" s="308">
        <v>849114</v>
      </c>
      <c r="EQ160" s="308">
        <f>VLOOKUP($EL160,$EC$145:$EE$157,2,FALSE)*$EO160</f>
        <v>1186.8985777057021</v>
      </c>
      <c r="ER160" s="308">
        <f>VLOOKUP($EL160,$EC$145:$EE$157,3,FALSE)*$EO160</f>
        <v>3.1337640455985034</v>
      </c>
      <c r="ET160" s="420" t="s">
        <v>670</v>
      </c>
      <c r="EU160" s="420" t="s">
        <v>79</v>
      </c>
      <c r="EV160" s="420">
        <v>51949.691800000001</v>
      </c>
      <c r="EW160" s="420">
        <v>0.2571987468717522</v>
      </c>
      <c r="EX160" s="421">
        <v>849115</v>
      </c>
      <c r="EY160" s="423">
        <f t="shared" si="92"/>
        <v>1153.0719682410897</v>
      </c>
      <c r="EZ160" s="423">
        <f t="shared" si="81"/>
        <v>3.044451770298946</v>
      </c>
      <c r="FA160">
        <v>0</v>
      </c>
      <c r="FD160" s="306" t="s">
        <v>670</v>
      </c>
      <c r="FE160" s="306" t="s">
        <v>79</v>
      </c>
      <c r="FF160" s="306">
        <v>51949.691800000001</v>
      </c>
      <c r="FG160" s="306">
        <v>0.2571987468717522</v>
      </c>
      <c r="FH160" s="307">
        <v>849115</v>
      </c>
      <c r="FI160" s="326">
        <f t="shared" si="82"/>
        <v>1153.0719682410897</v>
      </c>
      <c r="FJ160" s="326">
        <f t="shared" si="83"/>
        <v>3.044451770298946</v>
      </c>
      <c r="FL160" s="101"/>
      <c r="FM160" s="101"/>
      <c r="FN160" s="101"/>
      <c r="FO160" s="101"/>
      <c r="FP160" s="374"/>
      <c r="FQ160" s="405"/>
      <c r="FR160" s="405"/>
    </row>
    <row r="161" spans="142:174">
      <c r="EL161" s="306" t="s">
        <v>670</v>
      </c>
      <c r="EM161" s="306" t="s">
        <v>79</v>
      </c>
      <c r="EN161" s="306">
        <v>51949.691800000001</v>
      </c>
      <c r="EO161" s="306">
        <v>0.2571987468717522</v>
      </c>
      <c r="EP161" s="308">
        <v>849115</v>
      </c>
      <c r="EQ161" s="308">
        <f>VLOOKUP($EL161,$EC$145:$EE$157,2,FALSE)*$EO161</f>
        <v>878.46905965207725</v>
      </c>
      <c r="ER161" s="308">
        <f>VLOOKUP($EL161,$EC$145:$EE$157,3,FALSE)*$EO161</f>
        <v>2.3194186984618721</v>
      </c>
      <c r="ET161" s="420" t="s">
        <v>670</v>
      </c>
      <c r="EU161" s="420" t="s">
        <v>223</v>
      </c>
      <c r="EV161" s="420">
        <v>40441.3442</v>
      </c>
      <c r="EW161" s="420">
        <v>0.20022184328048706</v>
      </c>
      <c r="EX161" s="421">
        <v>849116</v>
      </c>
      <c r="EY161" s="423">
        <f t="shared" si="92"/>
        <v>853.43269145199304</v>
      </c>
      <c r="EZ161" s="423">
        <f t="shared" si="81"/>
        <v>2.2533152655557087</v>
      </c>
      <c r="FA161">
        <v>0</v>
      </c>
      <c r="FD161" s="306" t="s">
        <v>670</v>
      </c>
      <c r="FE161" s="306" t="s">
        <v>223</v>
      </c>
      <c r="FF161" s="306">
        <v>40441.3442</v>
      </c>
      <c r="FG161" s="306">
        <v>0.20022184328048706</v>
      </c>
      <c r="FH161" s="307">
        <v>849116</v>
      </c>
      <c r="FI161" s="326">
        <f t="shared" si="82"/>
        <v>853.43269145199304</v>
      </c>
      <c r="FJ161" s="326">
        <f t="shared" si="83"/>
        <v>2.2533152655557087</v>
      </c>
      <c r="FL161" s="101"/>
      <c r="FM161" s="101"/>
      <c r="FN161" s="101"/>
      <c r="FO161" s="101"/>
      <c r="FP161" s="374"/>
      <c r="FQ161" s="405"/>
      <c r="FR161" s="405"/>
    </row>
    <row r="162" spans="142:174">
      <c r="EL162" s="306" t="s">
        <v>670</v>
      </c>
      <c r="EM162" s="306" t="s">
        <v>223</v>
      </c>
      <c r="EN162" s="306">
        <v>40441.3442</v>
      </c>
      <c r="EO162" s="306">
        <v>0.20022184328048706</v>
      </c>
      <c r="EP162" s="308">
        <v>849116</v>
      </c>
      <c r="EQ162" s="308">
        <f>VLOOKUP($EL162,$EC$145:$EE$157,2,FALSE)*$EO162</f>
        <v>683.86295239657204</v>
      </c>
      <c r="ER162" s="308">
        <f>VLOOKUP($EL162,$EC$145:$EE$157,3,FALSE)*$EO162</f>
        <v>1.8056008934476984</v>
      </c>
      <c r="ET162" s="420" t="s">
        <v>671</v>
      </c>
      <c r="EU162" s="420" t="s">
        <v>571</v>
      </c>
      <c r="EV162" s="420">
        <v>53247.161800000002</v>
      </c>
      <c r="EW162" s="420">
        <v>1</v>
      </c>
      <c r="EX162" s="421">
        <v>849117</v>
      </c>
      <c r="EY162" s="423">
        <f t="shared" si="92"/>
        <v>664.37285825326978</v>
      </c>
      <c r="EZ162" s="423">
        <f t="shared" si="81"/>
        <v>1.754141267984439</v>
      </c>
      <c r="FA162">
        <v>0</v>
      </c>
      <c r="FD162" s="322" t="s">
        <v>671</v>
      </c>
      <c r="FE162" s="322" t="s">
        <v>571</v>
      </c>
      <c r="FF162" s="322">
        <v>53247.161800000002</v>
      </c>
      <c r="FG162" s="322">
        <v>1</v>
      </c>
      <c r="FH162" s="323">
        <v>849117</v>
      </c>
      <c r="FI162" s="327">
        <f t="shared" si="82"/>
        <v>664.37285825326978</v>
      </c>
      <c r="FJ162" s="327">
        <f t="shared" si="83"/>
        <v>1.754141267984439</v>
      </c>
      <c r="FL162" s="101"/>
      <c r="FM162" s="101"/>
      <c r="FN162" s="101"/>
      <c r="FO162" s="101"/>
      <c r="FP162" s="374"/>
      <c r="FQ162" s="405"/>
      <c r="FR162" s="405"/>
    </row>
    <row r="163" spans="142:174">
      <c r="EL163" s="322" t="s">
        <v>671</v>
      </c>
      <c r="EM163" s="322" t="s">
        <v>571</v>
      </c>
      <c r="EN163" s="322">
        <v>53247.161800000002</v>
      </c>
      <c r="EO163" s="322">
        <v>1</v>
      </c>
      <c r="EP163" s="323">
        <v>849117</v>
      </c>
      <c r="EQ163" s="324">
        <f>ED150+ED149</f>
        <v>1510.465084156885</v>
      </c>
      <c r="ER163" s="324">
        <f>EE150+EE149</f>
        <v>3.988075528755453</v>
      </c>
      <c r="ET163" s="420" t="s">
        <v>13</v>
      </c>
      <c r="EU163" s="420" t="s">
        <v>576</v>
      </c>
      <c r="EV163" s="420">
        <v>8507.8255000000008</v>
      </c>
      <c r="EW163" s="420">
        <v>0.38150552170840318</v>
      </c>
      <c r="EX163" s="421">
        <v>849118</v>
      </c>
      <c r="EY163" s="423">
        <f t="shared" si="92"/>
        <v>1467.4168292584138</v>
      </c>
      <c r="EZ163" s="423">
        <f t="shared" si="81"/>
        <v>3.8744153761859228</v>
      </c>
      <c r="FA163">
        <v>0</v>
      </c>
      <c r="FD163" s="306" t="s">
        <v>13</v>
      </c>
      <c r="FE163" s="306" t="s">
        <v>576</v>
      </c>
      <c r="FF163" s="306">
        <v>8507.8255000000008</v>
      </c>
      <c r="FG163" s="306">
        <v>0.38150552170840318</v>
      </c>
      <c r="FH163" s="307">
        <v>849118</v>
      </c>
      <c r="FI163" s="326">
        <f t="shared" si="82"/>
        <v>1467.4168292584138</v>
      </c>
      <c r="FJ163" s="326">
        <f t="shared" si="83"/>
        <v>3.8744153761859228</v>
      </c>
      <c r="FL163" s="101"/>
      <c r="FM163" s="101"/>
      <c r="FN163" s="101"/>
      <c r="FO163" s="101"/>
      <c r="FP163" s="374"/>
      <c r="FQ163" s="405"/>
      <c r="FR163" s="405"/>
    </row>
    <row r="164" spans="142:174">
      <c r="EL164" s="306" t="s">
        <v>13</v>
      </c>
      <c r="EM164" s="306" t="s">
        <v>576</v>
      </c>
      <c r="EN164" s="306">
        <v>8507.8255000000008</v>
      </c>
      <c r="EO164" s="306">
        <v>0.38150552170840318</v>
      </c>
      <c r="EP164" s="308">
        <v>849118</v>
      </c>
      <c r="EQ164" s="308">
        <f t="shared" ref="EQ164:EQ180" si="95">VLOOKUP($EL164,$EC$145:$EE$157,2,FALSE)*$EO164</f>
        <v>122.38888323881683</v>
      </c>
      <c r="ER164" s="308">
        <f t="shared" ref="ER164:ER180" si="96">VLOOKUP($EL164,$EC$145:$EE$157,3,FALSE)*$EO164</f>
        <v>0.32314292819875451</v>
      </c>
      <c r="ET164" s="420" t="s">
        <v>13</v>
      </c>
      <c r="EU164" s="420" t="s">
        <v>577</v>
      </c>
      <c r="EV164" s="420">
        <v>5790.3404</v>
      </c>
      <c r="EW164" s="420">
        <v>0.25964881804066664</v>
      </c>
      <c r="EX164" s="421">
        <v>849119</v>
      </c>
      <c r="EY164" s="423">
        <f t="shared" si="92"/>
        <v>118.90080006651056</v>
      </c>
      <c r="EZ164" s="423">
        <f t="shared" si="81"/>
        <v>0.31393335474508999</v>
      </c>
      <c r="FA164">
        <v>0</v>
      </c>
      <c r="FD164" s="306" t="s">
        <v>13</v>
      </c>
      <c r="FE164" s="306" t="s">
        <v>577</v>
      </c>
      <c r="FF164" s="306">
        <v>5790.3404</v>
      </c>
      <c r="FG164" s="306">
        <v>0.25964881804066664</v>
      </c>
      <c r="FH164" s="307">
        <v>849119</v>
      </c>
      <c r="FI164" s="326">
        <f t="shared" si="82"/>
        <v>118.90080006651056</v>
      </c>
      <c r="FJ164" s="326">
        <f t="shared" si="83"/>
        <v>0.31393335474508999</v>
      </c>
      <c r="FL164" s="101"/>
      <c r="FM164" s="101"/>
      <c r="FN164" s="101"/>
      <c r="FO164" s="101"/>
      <c r="FP164" s="374"/>
      <c r="FQ164" s="405"/>
      <c r="FR164" s="405"/>
    </row>
    <row r="165" spans="142:174">
      <c r="EL165" s="306" t="s">
        <v>13</v>
      </c>
      <c r="EM165" s="306" t="s">
        <v>577</v>
      </c>
      <c r="EN165" s="306">
        <v>5790.3404</v>
      </c>
      <c r="EO165" s="306">
        <v>0.25964881804066664</v>
      </c>
      <c r="EP165" s="308">
        <v>849119</v>
      </c>
      <c r="EQ165" s="308">
        <f t="shared" si="95"/>
        <v>83.296642030164321</v>
      </c>
      <c r="ER165" s="308">
        <f t="shared" si="96"/>
        <v>0.2199278243451922</v>
      </c>
      <c r="ET165" s="420" t="s">
        <v>13</v>
      </c>
      <c r="EU165" s="420" t="s">
        <v>382</v>
      </c>
      <c r="EV165" s="420">
        <v>1771.3566000000001</v>
      </c>
      <c r="EW165" s="420">
        <v>7.943067518423165E-2</v>
      </c>
      <c r="EX165" s="421">
        <v>849120</v>
      </c>
      <c r="EY165" s="423">
        <f t="shared" si="92"/>
        <v>80.922687732304638</v>
      </c>
      <c r="EZ165" s="423">
        <f t="shared" si="81"/>
        <v>0.21365988135135422</v>
      </c>
      <c r="FA165">
        <v>0</v>
      </c>
      <c r="FD165" s="306" t="s">
        <v>13</v>
      </c>
      <c r="FE165" s="306" t="s">
        <v>382</v>
      </c>
      <c r="FF165" s="306">
        <v>1771.3566000000001</v>
      </c>
      <c r="FG165" s="306">
        <v>7.943067518423165E-2</v>
      </c>
      <c r="FH165" s="307">
        <v>849120</v>
      </c>
      <c r="FI165" s="326">
        <f t="shared" si="82"/>
        <v>80.922687732304638</v>
      </c>
      <c r="FJ165" s="326">
        <f t="shared" si="83"/>
        <v>0.21365988135135422</v>
      </c>
      <c r="FL165" s="101"/>
      <c r="FM165" s="101"/>
      <c r="FN165" s="101"/>
      <c r="FO165" s="101"/>
      <c r="FP165" s="374"/>
      <c r="FQ165" s="405"/>
      <c r="FR165" s="405"/>
    </row>
    <row r="166" spans="142:174">
      <c r="EL166" s="306" t="s">
        <v>13</v>
      </c>
      <c r="EM166" s="306" t="s">
        <v>382</v>
      </c>
      <c r="EN166" s="306">
        <v>1771.3566000000001</v>
      </c>
      <c r="EO166" s="306">
        <v>7.943067518423165E-2</v>
      </c>
      <c r="EP166" s="308">
        <v>849120</v>
      </c>
      <c r="EQ166" s="308">
        <f t="shared" si="95"/>
        <v>25.481758657568559</v>
      </c>
      <c r="ER166" s="308">
        <f t="shared" si="96"/>
        <v>6.7279395729048494E-2</v>
      </c>
      <c r="ET166" s="420" t="s">
        <v>13</v>
      </c>
      <c r="EU166" s="420" t="s">
        <v>383</v>
      </c>
      <c r="EV166" s="420">
        <v>6231.1390000000001</v>
      </c>
      <c r="EW166" s="420">
        <v>0.2794149850666986</v>
      </c>
      <c r="EX166" s="421">
        <v>849121</v>
      </c>
      <c r="EY166" s="423">
        <f t="shared" si="92"/>
        <v>24.755528535827857</v>
      </c>
      <c r="EZ166" s="423">
        <f t="shared" si="81"/>
        <v>6.5361932950770613E-2</v>
      </c>
      <c r="FA166">
        <v>0</v>
      </c>
      <c r="FD166" s="306" t="s">
        <v>13</v>
      </c>
      <c r="FE166" s="306" t="s">
        <v>383</v>
      </c>
      <c r="FF166" s="306">
        <v>6231.1390000000001</v>
      </c>
      <c r="FG166" s="306">
        <v>0.2794149850666986</v>
      </c>
      <c r="FH166" s="307">
        <v>849121</v>
      </c>
      <c r="FI166" s="326">
        <f t="shared" si="82"/>
        <v>24.755528535827857</v>
      </c>
      <c r="FJ166" s="326">
        <f t="shared" si="83"/>
        <v>6.5361932950770613E-2</v>
      </c>
      <c r="FL166" s="101"/>
      <c r="FM166" s="101"/>
      <c r="FN166" s="101"/>
      <c r="FO166" s="101"/>
      <c r="FP166" s="374"/>
      <c r="FQ166" s="405"/>
      <c r="FR166" s="405"/>
    </row>
    <row r="167" spans="142:174">
      <c r="EL167" s="306" t="s">
        <v>13</v>
      </c>
      <c r="EM167" s="306" t="s">
        <v>383</v>
      </c>
      <c r="EN167" s="306">
        <v>6231.1390000000001</v>
      </c>
      <c r="EO167" s="306">
        <v>0.2794149850666986</v>
      </c>
      <c r="EP167" s="308">
        <v>849121</v>
      </c>
      <c r="EQ167" s="308">
        <f t="shared" si="95"/>
        <v>89.637727468180657</v>
      </c>
      <c r="ER167" s="308">
        <f t="shared" si="96"/>
        <v>0.23667016941913757</v>
      </c>
      <c r="ET167" s="420" t="s">
        <v>301</v>
      </c>
      <c r="EU167" s="420" t="s">
        <v>578</v>
      </c>
      <c r="EV167" s="420">
        <v>11058.6175</v>
      </c>
      <c r="EW167" s="420">
        <v>0.1539041977987548</v>
      </c>
      <c r="EX167" s="421">
        <v>849122</v>
      </c>
      <c r="EY167" s="423">
        <f t="shared" si="92"/>
        <v>87.083052235337504</v>
      </c>
      <c r="EZ167" s="423">
        <f t="shared" si="81"/>
        <v>0.22992506959069217</v>
      </c>
      <c r="FA167">
        <v>0</v>
      </c>
      <c r="FD167" s="306" t="s">
        <v>301</v>
      </c>
      <c r="FE167" s="306" t="s">
        <v>578</v>
      </c>
      <c r="FF167" s="306">
        <v>11058.6175</v>
      </c>
      <c r="FG167" s="306">
        <v>0.1539041977987548</v>
      </c>
      <c r="FH167" s="307">
        <v>849122</v>
      </c>
      <c r="FI167" s="326">
        <f t="shared" si="82"/>
        <v>87.083052235337504</v>
      </c>
      <c r="FJ167" s="326">
        <f t="shared" si="83"/>
        <v>0.22992506959069217</v>
      </c>
      <c r="FL167" s="101"/>
      <c r="FM167" s="101"/>
      <c r="FN167" s="101"/>
      <c r="FO167" s="101"/>
      <c r="FP167" s="374"/>
      <c r="FQ167" s="405"/>
      <c r="FR167" s="405"/>
    </row>
    <row r="168" spans="142:174">
      <c r="EL168" s="306" t="s">
        <v>301</v>
      </c>
      <c r="EM168" s="306" t="s">
        <v>578</v>
      </c>
      <c r="EN168" s="306">
        <v>11058.6175</v>
      </c>
      <c r="EO168" s="306">
        <v>0.1539041977987548</v>
      </c>
      <c r="EP168" s="308">
        <v>849122</v>
      </c>
      <c r="EQ168" s="308">
        <f t="shared" si="95"/>
        <v>867.05912586746467</v>
      </c>
      <c r="ER168" s="308">
        <f t="shared" si="96"/>
        <v>2.2892930913303884</v>
      </c>
      <c r="ET168" s="420" t="s">
        <v>301</v>
      </c>
      <c r="EU168" s="420" t="s">
        <v>103</v>
      </c>
      <c r="EV168" s="420">
        <v>11210.3078</v>
      </c>
      <c r="EW168" s="420">
        <v>0.15601529115516691</v>
      </c>
      <c r="EX168" s="421">
        <v>849123</v>
      </c>
      <c r="EY168" s="423">
        <f t="shared" si="92"/>
        <v>842.34794078024197</v>
      </c>
      <c r="EZ168" s="423">
        <f t="shared" si="81"/>
        <v>2.2240482382274722</v>
      </c>
      <c r="FA168">
        <v>0</v>
      </c>
      <c r="FD168" s="306" t="s">
        <v>301</v>
      </c>
      <c r="FE168" s="306" t="s">
        <v>103</v>
      </c>
      <c r="FF168" s="306">
        <v>11210.3078</v>
      </c>
      <c r="FG168" s="306">
        <v>0.15601529115516691</v>
      </c>
      <c r="FH168" s="307">
        <v>849123</v>
      </c>
      <c r="FI168" s="326">
        <f t="shared" si="82"/>
        <v>842.34794078024197</v>
      </c>
      <c r="FJ168" s="326">
        <f t="shared" si="83"/>
        <v>2.2240482382274722</v>
      </c>
      <c r="FL168" s="101"/>
      <c r="FM168" s="101"/>
      <c r="FN168" s="101"/>
      <c r="FO168" s="101"/>
      <c r="FP168" s="374"/>
      <c r="FQ168" s="405"/>
      <c r="FR168" s="405"/>
    </row>
    <row r="169" spans="142:174">
      <c r="EL169" s="306" t="s">
        <v>301</v>
      </c>
      <c r="EM169" s="306" t="s">
        <v>103</v>
      </c>
      <c r="EN169" s="306">
        <v>11210.3078</v>
      </c>
      <c r="EO169" s="306">
        <v>0.15601529115516691</v>
      </c>
      <c r="EP169" s="308">
        <v>849123</v>
      </c>
      <c r="EQ169" s="308">
        <f t="shared" si="95"/>
        <v>878.95251660284134</v>
      </c>
      <c r="ER169" s="308">
        <f t="shared" si="96"/>
        <v>2.3206951681100434</v>
      </c>
      <c r="ET169" s="420" t="s">
        <v>301</v>
      </c>
      <c r="EU169" s="420" t="s">
        <v>104</v>
      </c>
      <c r="EV169" s="420">
        <v>10719.050499999999</v>
      </c>
      <c r="EW169" s="420">
        <v>0.14917840031693305</v>
      </c>
      <c r="EX169" s="421">
        <v>849124</v>
      </c>
      <c r="EY169" s="423">
        <f t="shared" si="92"/>
        <v>853.90236987966034</v>
      </c>
      <c r="EZ169" s="423">
        <f t="shared" si="81"/>
        <v>2.2545553558189071</v>
      </c>
      <c r="FA169">
        <v>0</v>
      </c>
      <c r="FD169" s="306" t="s">
        <v>301</v>
      </c>
      <c r="FE169" s="306" t="s">
        <v>104</v>
      </c>
      <c r="FF169" s="306">
        <v>10719.050499999999</v>
      </c>
      <c r="FG169" s="306">
        <v>0.14917840031693305</v>
      </c>
      <c r="FH169" s="307">
        <v>849124</v>
      </c>
      <c r="FI169" s="326">
        <f t="shared" si="82"/>
        <v>853.90236987966034</v>
      </c>
      <c r="FJ169" s="326">
        <f t="shared" si="83"/>
        <v>2.2545553558189071</v>
      </c>
      <c r="FL169" s="101"/>
      <c r="FM169" s="101"/>
      <c r="FN169" s="101"/>
      <c r="FO169" s="101"/>
      <c r="FP169" s="374"/>
      <c r="FQ169" s="405"/>
      <c r="FR169" s="405"/>
    </row>
    <row r="170" spans="142:174">
      <c r="EL170" s="306" t="s">
        <v>301</v>
      </c>
      <c r="EM170" s="306" t="s">
        <v>104</v>
      </c>
      <c r="EN170" s="306">
        <v>10719.050499999999</v>
      </c>
      <c r="EO170" s="306">
        <v>0.14917840031693305</v>
      </c>
      <c r="EP170" s="308">
        <v>849124</v>
      </c>
      <c r="EQ170" s="308">
        <f t="shared" si="95"/>
        <v>840.43512280438392</v>
      </c>
      <c r="ER170" s="308">
        <f t="shared" si="96"/>
        <v>2.2189978318059689</v>
      </c>
      <c r="ET170" s="420" t="s">
        <v>301</v>
      </c>
      <c r="EU170" s="420" t="s">
        <v>117</v>
      </c>
      <c r="EV170" s="420">
        <v>25550.6122</v>
      </c>
      <c r="EW170" s="420">
        <v>0.35559114635333733</v>
      </c>
      <c r="EX170" s="421">
        <v>849125</v>
      </c>
      <c r="EY170" s="423">
        <f t="shared" si="92"/>
        <v>816.48272180445906</v>
      </c>
      <c r="EZ170" s="423">
        <f t="shared" si="81"/>
        <v>2.155756393599499</v>
      </c>
      <c r="FA170">
        <v>0</v>
      </c>
      <c r="FD170" s="306" t="s">
        <v>301</v>
      </c>
      <c r="FE170" s="306" t="s">
        <v>117</v>
      </c>
      <c r="FF170" s="306">
        <v>25550.6122</v>
      </c>
      <c r="FG170" s="306">
        <v>0.35559114635333733</v>
      </c>
      <c r="FH170" s="307">
        <v>849125</v>
      </c>
      <c r="FI170" s="326">
        <f t="shared" si="82"/>
        <v>816.48272180445906</v>
      </c>
      <c r="FJ170" s="326">
        <f t="shared" si="83"/>
        <v>2.155756393599499</v>
      </c>
      <c r="FL170" s="101"/>
      <c r="FM170" s="101"/>
      <c r="FN170" s="101"/>
      <c r="FO170" s="101"/>
      <c r="FP170" s="374"/>
      <c r="FQ170" s="405"/>
      <c r="FR170" s="405"/>
    </row>
    <row r="171" spans="142:174">
      <c r="EL171" s="306" t="s">
        <v>301</v>
      </c>
      <c r="EM171" s="306" t="s">
        <v>117</v>
      </c>
      <c r="EN171" s="306">
        <v>25550.6122</v>
      </c>
      <c r="EO171" s="306">
        <v>0.35559114635333733</v>
      </c>
      <c r="EP171" s="308">
        <v>849125</v>
      </c>
      <c r="EQ171" s="308">
        <f t="shared" si="95"/>
        <v>2003.314743412599</v>
      </c>
      <c r="ER171" s="308">
        <f t="shared" si="96"/>
        <v>5.2893447113730021</v>
      </c>
      <c r="ET171" s="420" t="s">
        <v>301</v>
      </c>
      <c r="EU171" s="420" t="s">
        <v>118</v>
      </c>
      <c r="EV171" s="420">
        <v>13315.3163</v>
      </c>
      <c r="EW171" s="420">
        <v>0.18531096437580774</v>
      </c>
      <c r="EX171" s="421">
        <v>849126</v>
      </c>
      <c r="EY171" s="423">
        <f t="shared" si="92"/>
        <v>1946.22027322534</v>
      </c>
      <c r="EZ171" s="423">
        <f t="shared" si="81"/>
        <v>5.1385983870988721</v>
      </c>
      <c r="FA171">
        <v>0</v>
      </c>
      <c r="FD171" s="306" t="s">
        <v>301</v>
      </c>
      <c r="FE171" s="306" t="s">
        <v>118</v>
      </c>
      <c r="FF171" s="306">
        <v>13315.3163</v>
      </c>
      <c r="FG171" s="306">
        <v>0.18531096437580774</v>
      </c>
      <c r="FH171" s="307">
        <v>849126</v>
      </c>
      <c r="FI171" s="326">
        <f t="shared" si="82"/>
        <v>1946.22027322534</v>
      </c>
      <c r="FJ171" s="326">
        <f t="shared" si="83"/>
        <v>5.1385983870988721</v>
      </c>
      <c r="FL171" s="101"/>
      <c r="FM171" s="101"/>
      <c r="FN171" s="101"/>
      <c r="FO171" s="101"/>
      <c r="FP171" s="374"/>
      <c r="FQ171" s="405"/>
      <c r="FR171" s="405"/>
    </row>
    <row r="172" spans="142:174">
      <c r="EL172" s="306" t="s">
        <v>301</v>
      </c>
      <c r="EM172" s="306" t="s">
        <v>118</v>
      </c>
      <c r="EN172" s="306">
        <v>13315.3163</v>
      </c>
      <c r="EO172" s="306">
        <v>0.18531096437580774</v>
      </c>
      <c r="EP172" s="308">
        <v>849126</v>
      </c>
      <c r="EQ172" s="308">
        <f t="shared" si="95"/>
        <v>1043.9972728712974</v>
      </c>
      <c r="ER172" s="308">
        <f t="shared" si="96"/>
        <v>2.7564622444413969</v>
      </c>
      <c r="ET172" s="420" t="s">
        <v>302</v>
      </c>
      <c r="EU172" s="420" t="s">
        <v>580</v>
      </c>
      <c r="EV172" s="420">
        <v>15739.680700000001</v>
      </c>
      <c r="EW172" s="420">
        <v>0.310763615277375</v>
      </c>
      <c r="EX172" s="421">
        <v>849127</v>
      </c>
      <c r="EY172" s="423">
        <f t="shared" si="92"/>
        <v>1014.2433505944654</v>
      </c>
      <c r="EZ172" s="423">
        <f t="shared" si="81"/>
        <v>2.6779030704748172</v>
      </c>
      <c r="FA172">
        <v>0</v>
      </c>
      <c r="FD172" s="306" t="s">
        <v>302</v>
      </c>
      <c r="FE172" s="306" t="s">
        <v>580</v>
      </c>
      <c r="FF172" s="306">
        <v>15739.680700000001</v>
      </c>
      <c r="FG172" s="306">
        <v>0.310763615277375</v>
      </c>
      <c r="FH172" s="307">
        <v>849127</v>
      </c>
      <c r="FI172" s="326">
        <f t="shared" si="82"/>
        <v>1014.2433505944654</v>
      </c>
      <c r="FJ172" s="326">
        <f t="shared" si="83"/>
        <v>2.6779030704748172</v>
      </c>
      <c r="FL172" s="101"/>
      <c r="FM172" s="101"/>
      <c r="FN172" s="101"/>
      <c r="FO172" s="101"/>
      <c r="FP172" s="374"/>
      <c r="FQ172" s="405"/>
      <c r="FR172" s="405"/>
    </row>
    <row r="173" spans="142:174">
      <c r="EL173" s="306" t="s">
        <v>302</v>
      </c>
      <c r="EM173" s="306" t="s">
        <v>580</v>
      </c>
      <c r="EN173" s="306">
        <v>15739.680700000001</v>
      </c>
      <c r="EO173" s="306">
        <v>0.310763615277375</v>
      </c>
      <c r="EP173" s="308">
        <v>849127</v>
      </c>
      <c r="EQ173" s="308">
        <f t="shared" si="95"/>
        <v>20.86346682310139</v>
      </c>
      <c r="ER173" s="308">
        <f t="shared" si="96"/>
        <v>5.5085736409892283E-2</v>
      </c>
      <c r="ET173" s="420" t="s">
        <v>302</v>
      </c>
      <c r="EU173" s="420" t="s">
        <v>581</v>
      </c>
      <c r="EV173" s="420">
        <v>34908.721899999997</v>
      </c>
      <c r="EW173" s="420">
        <v>0.68923638472262494</v>
      </c>
      <c r="EX173" s="421">
        <v>849128</v>
      </c>
      <c r="EY173" s="423">
        <f t="shared" si="92"/>
        <v>20.268858018643002</v>
      </c>
      <c r="EZ173" s="423">
        <f t="shared" si="81"/>
        <v>5.3515792922210356E-2</v>
      </c>
      <c r="FA173">
        <v>0</v>
      </c>
      <c r="FD173" s="306" t="s">
        <v>302</v>
      </c>
      <c r="FE173" s="306" t="s">
        <v>581</v>
      </c>
      <c r="FF173" s="306">
        <v>34908.721899999997</v>
      </c>
      <c r="FG173" s="306">
        <v>0.68923638472262494</v>
      </c>
      <c r="FH173" s="307">
        <v>849128</v>
      </c>
      <c r="FI173" s="326">
        <f t="shared" si="82"/>
        <v>20.268858018643002</v>
      </c>
      <c r="FJ173" s="326">
        <f t="shared" si="83"/>
        <v>5.3515792922210356E-2</v>
      </c>
      <c r="FL173" s="101"/>
      <c r="FM173" s="101"/>
      <c r="FN173" s="101"/>
      <c r="FO173" s="101"/>
      <c r="FP173" s="374"/>
      <c r="FQ173" s="405"/>
      <c r="FR173" s="405"/>
    </row>
    <row r="174" spans="142:174">
      <c r="EL174" s="306" t="s">
        <v>302</v>
      </c>
      <c r="EM174" s="306" t="s">
        <v>581</v>
      </c>
      <c r="EN174" s="306">
        <v>34908.721899999997</v>
      </c>
      <c r="EO174" s="306">
        <v>0.68923638472262494</v>
      </c>
      <c r="EP174" s="308">
        <v>849128</v>
      </c>
      <c r="EQ174" s="308">
        <f t="shared" si="95"/>
        <v>46.272664298553586</v>
      </c>
      <c r="ER174" s="308">
        <f t="shared" si="96"/>
        <v>0.12217354911079194</v>
      </c>
      <c r="ET174" s="420" t="s">
        <v>303</v>
      </c>
      <c r="EU174" s="420" t="s">
        <v>583</v>
      </c>
      <c r="EV174" s="420">
        <v>4662.5794999999998</v>
      </c>
      <c r="EW174" s="420">
        <v>1</v>
      </c>
      <c r="EX174" s="421">
        <v>849129</v>
      </c>
      <c r="EY174" s="423">
        <f t="shared" si="92"/>
        <v>44.953893366044809</v>
      </c>
      <c r="EZ174" s="423">
        <f t="shared" si="81"/>
        <v>0.11869160296113437</v>
      </c>
      <c r="FA174">
        <v>0</v>
      </c>
      <c r="FD174" s="306" t="s">
        <v>303</v>
      </c>
      <c r="FE174" s="306" t="s">
        <v>583</v>
      </c>
      <c r="FF174" s="306">
        <v>4662.5794999999998</v>
      </c>
      <c r="FG174" s="306">
        <v>1</v>
      </c>
      <c r="FH174" s="307">
        <v>849129</v>
      </c>
      <c r="FI174" s="326">
        <f t="shared" si="82"/>
        <v>44.953893366044809</v>
      </c>
      <c r="FJ174" s="326">
        <f t="shared" si="83"/>
        <v>0.11869160296113437</v>
      </c>
      <c r="FL174" s="101"/>
      <c r="FM174" s="101"/>
      <c r="FN174" s="101"/>
      <c r="FO174" s="101"/>
      <c r="FP174" s="374"/>
      <c r="FQ174" s="405"/>
      <c r="FR174" s="405"/>
    </row>
    <row r="175" spans="142:174">
      <c r="EL175" s="306" t="s">
        <v>303</v>
      </c>
      <c r="EM175" s="306" t="s">
        <v>583</v>
      </c>
      <c r="EN175" s="306">
        <v>4662.5794999999998</v>
      </c>
      <c r="EO175" s="306">
        <v>1</v>
      </c>
      <c r="EP175" s="308">
        <v>849129</v>
      </c>
      <c r="EQ175" s="308">
        <f t="shared" si="95"/>
        <v>118.80942154765182</v>
      </c>
      <c r="ER175" s="308">
        <f t="shared" si="96"/>
        <v>0.31369208837042367</v>
      </c>
      <c r="ET175" s="420" t="s">
        <v>304</v>
      </c>
      <c r="EU175" s="420" t="s">
        <v>585</v>
      </c>
      <c r="EV175" s="420">
        <v>1500.06</v>
      </c>
      <c r="EW175" s="420">
        <v>0.43611638887745335</v>
      </c>
      <c r="EX175" s="421">
        <v>849130</v>
      </c>
      <c r="EY175" s="423">
        <f t="shared" si="92"/>
        <v>115.42335303354375</v>
      </c>
      <c r="EZ175" s="423">
        <f t="shared" si="81"/>
        <v>0.30475186385186659</v>
      </c>
      <c r="FA175">
        <v>0</v>
      </c>
      <c r="FD175" s="306" t="s">
        <v>304</v>
      </c>
      <c r="FE175" s="306" t="s">
        <v>585</v>
      </c>
      <c r="FF175" s="306">
        <v>1500.06</v>
      </c>
      <c r="FG175" s="306">
        <v>0.43611638887745335</v>
      </c>
      <c r="FH175" s="307">
        <v>849130</v>
      </c>
      <c r="FI175" s="326">
        <f t="shared" si="82"/>
        <v>115.42335303354375</v>
      </c>
      <c r="FJ175" s="326">
        <f t="shared" si="83"/>
        <v>0.30475186385186659</v>
      </c>
      <c r="FL175" s="101"/>
      <c r="FM175" s="101"/>
      <c r="FN175" s="101"/>
      <c r="FO175" s="101"/>
      <c r="FP175" s="374"/>
      <c r="FQ175" s="405"/>
      <c r="FR175" s="405"/>
    </row>
    <row r="176" spans="142:174">
      <c r="EL176" s="306" t="s">
        <v>304</v>
      </c>
      <c r="EM176" s="306" t="s">
        <v>585</v>
      </c>
      <c r="EN176" s="306">
        <v>1500.06</v>
      </c>
      <c r="EO176" s="306">
        <v>0.43611638887745335</v>
      </c>
      <c r="EP176" s="308">
        <v>849130</v>
      </c>
      <c r="EQ176" s="308">
        <f t="shared" si="95"/>
        <v>4.7802721743639811</v>
      </c>
      <c r="ER176" s="308">
        <f t="shared" si="96"/>
        <v>1.2621335427963801E-2</v>
      </c>
      <c r="ET176" s="420" t="s">
        <v>304</v>
      </c>
      <c r="EU176" s="420" t="s">
        <v>393</v>
      </c>
      <c r="EV176" s="420">
        <v>1939.5264</v>
      </c>
      <c r="EW176" s="420">
        <v>0.56388361112254659</v>
      </c>
      <c r="EX176" s="421">
        <v>849131</v>
      </c>
      <c r="EY176" s="423">
        <f t="shared" si="92"/>
        <v>4.6440344173946082</v>
      </c>
      <c r="EZ176" s="423">
        <f t="shared" si="81"/>
        <v>1.2261627368266833E-2</v>
      </c>
      <c r="FA176">
        <v>0</v>
      </c>
      <c r="FD176" s="306" t="s">
        <v>304</v>
      </c>
      <c r="FE176" s="306" t="s">
        <v>393</v>
      </c>
      <c r="FF176" s="306">
        <v>1939.5264</v>
      </c>
      <c r="FG176" s="306">
        <v>0.56388361112254659</v>
      </c>
      <c r="FH176" s="307">
        <v>849131</v>
      </c>
      <c r="FI176" s="326">
        <f t="shared" si="82"/>
        <v>4.6440344173946082</v>
      </c>
      <c r="FJ176" s="326">
        <f t="shared" si="83"/>
        <v>1.2261627368266833E-2</v>
      </c>
      <c r="FL176" s="101"/>
      <c r="FM176" s="101"/>
      <c r="FN176" s="101"/>
      <c r="FO176" s="101"/>
      <c r="FP176" s="374"/>
      <c r="FQ176" s="405"/>
      <c r="FR176" s="405"/>
    </row>
    <row r="177" spans="142:174">
      <c r="EL177" s="306" t="s">
        <v>304</v>
      </c>
      <c r="EM177" s="306" t="s">
        <v>393</v>
      </c>
      <c r="EN177" s="306">
        <v>1939.5264</v>
      </c>
      <c r="EO177" s="306">
        <v>0.56388361112254659</v>
      </c>
      <c r="EP177" s="308">
        <v>849131</v>
      </c>
      <c r="EQ177" s="308">
        <f t="shared" si="95"/>
        <v>6.1807288250898935</v>
      </c>
      <c r="ER177" s="308">
        <f t="shared" si="96"/>
        <v>1.6318956085617304E-2</v>
      </c>
      <c r="ET177" s="420" t="s">
        <v>305</v>
      </c>
      <c r="EU177" s="420" t="s">
        <v>680</v>
      </c>
      <c r="EV177" s="420">
        <v>2026.3647000000001</v>
      </c>
      <c r="EW177" s="420">
        <v>1</v>
      </c>
      <c r="EX177" s="421">
        <v>849132</v>
      </c>
      <c r="EY177" s="423">
        <f t="shared" si="92"/>
        <v>6.0045780535748321</v>
      </c>
      <c r="EZ177" s="423">
        <f t="shared" si="81"/>
        <v>1.5853865837177211E-2</v>
      </c>
      <c r="FA177">
        <v>0</v>
      </c>
      <c r="FD177" s="306" t="s">
        <v>305</v>
      </c>
      <c r="FE177" s="306" t="s">
        <v>680</v>
      </c>
      <c r="FF177" s="306">
        <v>2026.3647000000001</v>
      </c>
      <c r="FG177" s="306">
        <v>1</v>
      </c>
      <c r="FH177" s="307">
        <v>849132</v>
      </c>
      <c r="FI177" s="326">
        <f t="shared" si="82"/>
        <v>6.0045780535748321</v>
      </c>
      <c r="FJ177" s="326">
        <f t="shared" si="83"/>
        <v>1.5853865837177211E-2</v>
      </c>
      <c r="FL177" s="101"/>
      <c r="FM177" s="101"/>
      <c r="FN177" s="101"/>
      <c r="FO177" s="101"/>
      <c r="FP177" s="374"/>
      <c r="FQ177" s="405"/>
      <c r="FR177" s="405"/>
    </row>
    <row r="178" spans="142:174">
      <c r="EL178" s="306" t="s">
        <v>305</v>
      </c>
      <c r="EM178" s="306" t="s">
        <v>680</v>
      </c>
      <c r="EN178" s="306">
        <v>2026.3647000000001</v>
      </c>
      <c r="EO178" s="306">
        <v>1</v>
      </c>
      <c r="EP178" s="308">
        <v>849132</v>
      </c>
      <c r="EQ178" s="308">
        <f t="shared" si="95"/>
        <v>33.861663801884291</v>
      </c>
      <c r="ER178" s="308">
        <f t="shared" si="96"/>
        <v>8.94048291401702E-2</v>
      </c>
      <c r="ET178" s="420" t="s">
        <v>47</v>
      </c>
      <c r="EU178" s="420" t="s">
        <v>681</v>
      </c>
      <c r="EV178" s="420">
        <v>41993.0622</v>
      </c>
      <c r="EW178" s="420">
        <v>0.3967757985704885</v>
      </c>
      <c r="EX178" s="421">
        <v>849133</v>
      </c>
      <c r="EY178" s="423">
        <f t="shared" si="92"/>
        <v>32.896606383530589</v>
      </c>
      <c r="EZ178" s="423">
        <f t="shared" si="81"/>
        <v>8.6856791509675346E-2</v>
      </c>
      <c r="FA178">
        <v>0</v>
      </c>
      <c r="FD178" s="306" t="s">
        <v>47</v>
      </c>
      <c r="FE178" s="306" t="s">
        <v>681</v>
      </c>
      <c r="FF178" s="306">
        <v>41993.0622</v>
      </c>
      <c r="FG178" s="306">
        <v>0.3967757985704885</v>
      </c>
      <c r="FH178" s="307">
        <v>849133</v>
      </c>
      <c r="FI178" s="326">
        <f t="shared" si="82"/>
        <v>32.896606383530589</v>
      </c>
      <c r="FJ178" s="326">
        <f t="shared" si="83"/>
        <v>8.6856791509675346E-2</v>
      </c>
      <c r="FL178" s="101"/>
      <c r="FM178" s="101"/>
      <c r="FN178" s="101"/>
      <c r="FO178" s="101"/>
      <c r="FP178" s="374"/>
      <c r="FQ178" s="405"/>
      <c r="FR178" s="405"/>
    </row>
    <row r="179" spans="142:174">
      <c r="EL179" s="306" t="s">
        <v>47</v>
      </c>
      <c r="EM179" s="306" t="s">
        <v>681</v>
      </c>
      <c r="EN179" s="306">
        <v>41993.0622</v>
      </c>
      <c r="EO179" s="306">
        <v>0.3967757985704885</v>
      </c>
      <c r="EP179" s="308">
        <v>849133</v>
      </c>
      <c r="EQ179" s="308">
        <f t="shared" si="95"/>
        <v>1164.0724859139627</v>
      </c>
      <c r="ER179" s="308">
        <f t="shared" si="96"/>
        <v>3.0734963975432201</v>
      </c>
      <c r="ET179" s="420" t="s">
        <v>47</v>
      </c>
      <c r="EU179" s="420" t="s">
        <v>398</v>
      </c>
      <c r="EV179" s="420">
        <v>63842.682699999998</v>
      </c>
      <c r="EW179" s="420">
        <v>0.60322420142951161</v>
      </c>
      <c r="EX179" s="421">
        <v>849134</v>
      </c>
      <c r="EY179" s="423">
        <f t="shared" si="92"/>
        <v>1130.8964200654148</v>
      </c>
      <c r="EZ179" s="423">
        <f t="shared" si="81"/>
        <v>2.9859017502132383</v>
      </c>
      <c r="FA179">
        <v>0</v>
      </c>
      <c r="FD179" s="306" t="s">
        <v>47</v>
      </c>
      <c r="FE179" s="306" t="s">
        <v>398</v>
      </c>
      <c r="FF179" s="306">
        <v>63842.682699999998</v>
      </c>
      <c r="FG179" s="306">
        <v>0.60322420142951161</v>
      </c>
      <c r="FH179" s="307">
        <v>849134</v>
      </c>
      <c r="FI179" s="326">
        <f t="shared" si="82"/>
        <v>1130.8964200654148</v>
      </c>
      <c r="FJ179" s="326">
        <f t="shared" si="83"/>
        <v>2.9859017502132383</v>
      </c>
      <c r="FL179" s="101"/>
      <c r="FM179" s="101"/>
      <c r="FN179" s="101"/>
      <c r="FO179" s="101"/>
      <c r="FP179" s="374"/>
      <c r="FQ179" s="405"/>
      <c r="FR179" s="405"/>
    </row>
    <row r="180" spans="142:174">
      <c r="EL180" s="306" t="s">
        <v>47</v>
      </c>
      <c r="EM180" s="306" t="s">
        <v>398</v>
      </c>
      <c r="EN180" s="306">
        <v>63842.682699999998</v>
      </c>
      <c r="EO180" s="306">
        <v>0.60322420142951161</v>
      </c>
      <c r="EP180" s="308">
        <v>849134</v>
      </c>
      <c r="EQ180" s="308">
        <f t="shared" si="95"/>
        <v>1769.7568708862898</v>
      </c>
      <c r="ER180" s="308">
        <f t="shared" si="96"/>
        <v>4.6726827006186955</v>
      </c>
      <c r="EY180" s="431">
        <f>EY181-VLOOKUP($EV$181,장항공공주택지구_통행량제외분!$J$12:$P$18,3,FALSE)</f>
        <v>10034.570471603936</v>
      </c>
      <c r="EZ180" s="431">
        <f>EZ181-VLOOKUP($EV$138,장항공공주택지구_통행량제외분!$J$12:$P$18,5,FALSE)</f>
        <v>30.141721066136753</v>
      </c>
      <c r="FI180" s="310">
        <f>SUM(FI146:FI179)</f>
        <v>16538.997951328376</v>
      </c>
      <c r="FJ180" s="310">
        <f>SUM(FJ146:FJ179)</f>
        <v>43.677555478928149</v>
      </c>
      <c r="FP180" s="277"/>
      <c r="FQ180" s="310"/>
      <c r="FR180" s="310"/>
    </row>
    <row r="181" spans="142:174">
      <c r="EQ181" s="310">
        <f>SUM(EQ146:EQ180)</f>
        <v>18793.944159953062</v>
      </c>
      <c r="ER181" s="310">
        <f>SUM(ER146:ER180)</f>
        <v>49.631566363951833</v>
      </c>
      <c r="EV181" s="432">
        <f>기준년도설정!B1</f>
        <v>2025</v>
      </c>
      <c r="EY181" s="310">
        <f>SUM(EY146:EY179)</f>
        <v>16538.997951328376</v>
      </c>
      <c r="EZ181" s="310">
        <f>SUM(EZ146:EZ179)</f>
        <v>43.677555478928149</v>
      </c>
      <c r="FH181" s="277"/>
    </row>
    <row r="182" spans="142:174">
      <c r="FA182" s="277"/>
    </row>
    <row r="183" spans="142:174">
      <c r="FA183" s="277"/>
    </row>
    <row r="184" spans="142:174">
      <c r="FA184" s="277"/>
    </row>
    <row r="185" spans="142:174">
      <c r="FA185" s="277"/>
    </row>
    <row r="186" spans="142:174">
      <c r="FA186" s="277"/>
    </row>
    <row r="187" spans="142:174">
      <c r="FA187" s="277"/>
    </row>
    <row r="188" spans="142:174">
      <c r="FA188" s="277"/>
    </row>
  </sheetData>
  <mergeCells count="150">
    <mergeCell ref="CE144:CR144"/>
    <mergeCell ref="BQ144:CD144"/>
    <mergeCell ref="BC144:BP144"/>
    <mergeCell ref="AO144:BB144"/>
    <mergeCell ref="AA144:AN144"/>
    <mergeCell ref="M144:Z144"/>
    <mergeCell ref="EP115:EP116"/>
    <mergeCell ref="AO101:BB101"/>
    <mergeCell ref="AA101:AN101"/>
    <mergeCell ref="M101:Z101"/>
    <mergeCell ref="DN101:DQ101"/>
    <mergeCell ref="DR101:DU101"/>
    <mergeCell ref="DY101:DZ101"/>
    <mergeCell ref="ED101:EE101"/>
    <mergeCell ref="EP158:EP159"/>
    <mergeCell ref="ED144:EE144"/>
    <mergeCell ref="DY144:DZ144"/>
    <mergeCell ref="DR144:DU144"/>
    <mergeCell ref="DN144:DQ144"/>
    <mergeCell ref="DJ144:DM144"/>
    <mergeCell ref="DF144:DI144"/>
    <mergeCell ref="DB144:DE144"/>
    <mergeCell ref="CX144:DA144"/>
    <mergeCell ref="F77:H77"/>
    <mergeCell ref="L77:L78"/>
    <mergeCell ref="Q59:U60"/>
    <mergeCell ref="V59:X59"/>
    <mergeCell ref="AB59:AB60"/>
    <mergeCell ref="Q77:U78"/>
    <mergeCell ref="V77:X77"/>
    <mergeCell ref="AB77:AB78"/>
    <mergeCell ref="DJ101:DM101"/>
    <mergeCell ref="BC101:BP101"/>
    <mergeCell ref="BQ101:CD101"/>
    <mergeCell ref="CE101:CR101"/>
    <mergeCell ref="CX101:DA101"/>
    <mergeCell ref="DB101:DE101"/>
    <mergeCell ref="DF101:DI101"/>
    <mergeCell ref="C86:E86"/>
    <mergeCell ref="C87:E87"/>
    <mergeCell ref="C84:E84"/>
    <mergeCell ref="C85:E85"/>
    <mergeCell ref="C90:E90"/>
    <mergeCell ref="C88:E88"/>
    <mergeCell ref="C89:E89"/>
    <mergeCell ref="D79:E79"/>
    <mergeCell ref="D80:D81"/>
    <mergeCell ref="A77:E78"/>
    <mergeCell ref="C72:E72"/>
    <mergeCell ref="C70:E70"/>
    <mergeCell ref="C71:E71"/>
    <mergeCell ref="C68:E68"/>
    <mergeCell ref="C69:E69"/>
    <mergeCell ref="C66:E66"/>
    <mergeCell ref="C67:E67"/>
    <mergeCell ref="D61:E61"/>
    <mergeCell ref="D62:D63"/>
    <mergeCell ref="A59:E60"/>
    <mergeCell ref="C49:E49"/>
    <mergeCell ref="AF49:AG49"/>
    <mergeCell ref="C50:E50"/>
    <mergeCell ref="AD50:AE51"/>
    <mergeCell ref="AF50:AG50"/>
    <mergeCell ref="C51:E51"/>
    <mergeCell ref="AF51:AG51"/>
    <mergeCell ref="F59:H59"/>
    <mergeCell ref="L59:L60"/>
    <mergeCell ref="AC35:AG35"/>
    <mergeCell ref="C36:E36"/>
    <mergeCell ref="AC36:AC43"/>
    <mergeCell ref="A37:A54"/>
    <mergeCell ref="B37:E37"/>
    <mergeCell ref="C38:E38"/>
    <mergeCell ref="D39:E39"/>
    <mergeCell ref="AF39:AG39"/>
    <mergeCell ref="D40:E40"/>
    <mergeCell ref="AF40:AG40"/>
    <mergeCell ref="D41:E41"/>
    <mergeCell ref="AF41:AG41"/>
    <mergeCell ref="D42:D44"/>
    <mergeCell ref="AD42:AE43"/>
    <mergeCell ref="AF42:AG42"/>
    <mergeCell ref="AF43:AG43"/>
    <mergeCell ref="AC44:AC51"/>
    <mergeCell ref="AF47:AG47"/>
    <mergeCell ref="C48:E48"/>
    <mergeCell ref="AF48:AG48"/>
    <mergeCell ref="C52:E52"/>
    <mergeCell ref="C53:E53"/>
    <mergeCell ref="C54:E54"/>
    <mergeCell ref="C30:E30"/>
    <mergeCell ref="C31:E31"/>
    <mergeCell ref="C32:E32"/>
    <mergeCell ref="C33:E33"/>
    <mergeCell ref="C34:E34"/>
    <mergeCell ref="C35:E35"/>
    <mergeCell ref="AY20:AY21"/>
    <mergeCell ref="AZ20:AZ21"/>
    <mergeCell ref="D21:E21"/>
    <mergeCell ref="D22:E22"/>
    <mergeCell ref="D23:E23"/>
    <mergeCell ref="D24:D26"/>
    <mergeCell ref="AP20:AP21"/>
    <mergeCell ref="AQ20:AQ21"/>
    <mergeCell ref="AR20:AR21"/>
    <mergeCell ref="AV20:AV21"/>
    <mergeCell ref="AW20:AW21"/>
    <mergeCell ref="AX20:AX21"/>
    <mergeCell ref="AB20:AB21"/>
    <mergeCell ref="AC20:AC21"/>
    <mergeCell ref="AD20:AD21"/>
    <mergeCell ref="AE20:AE21"/>
    <mergeCell ref="AN20:AN21"/>
    <mergeCell ref="AO20:AO21"/>
    <mergeCell ref="AO19:AP19"/>
    <mergeCell ref="AS19:AV19"/>
    <mergeCell ref="AW19:AX19"/>
    <mergeCell ref="C20:E20"/>
    <mergeCell ref="S20:S21"/>
    <mergeCell ref="T20:T21"/>
    <mergeCell ref="U20:U21"/>
    <mergeCell ref="V20:V21"/>
    <mergeCell ref="W20:W21"/>
    <mergeCell ref="AA20:AA21"/>
    <mergeCell ref="AQ18:AR19"/>
    <mergeCell ref="AS18:AX18"/>
    <mergeCell ref="A10:B10"/>
    <mergeCell ref="A11:A12"/>
    <mergeCell ref="A17:E18"/>
    <mergeCell ref="F17:H17"/>
    <mergeCell ref="L17:L18"/>
    <mergeCell ref="O17:O21"/>
    <mergeCell ref="AY18:AZ19"/>
    <mergeCell ref="A19:A36"/>
    <mergeCell ref="B19:E19"/>
    <mergeCell ref="P19:S19"/>
    <mergeCell ref="T19:U19"/>
    <mergeCell ref="X19:AA19"/>
    <mergeCell ref="AB19:AC19"/>
    <mergeCell ref="AK19:AN19"/>
    <mergeCell ref="P17:W17"/>
    <mergeCell ref="X17:AE17"/>
    <mergeCell ref="AJ17:AJ21"/>
    <mergeCell ref="AK17:AR17"/>
    <mergeCell ref="AS17:AZ17"/>
    <mergeCell ref="P18:U18"/>
    <mergeCell ref="V18:W19"/>
    <mergeCell ref="X18:AC18"/>
    <mergeCell ref="AD18:AE19"/>
    <mergeCell ref="AK18:AP18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K190"/>
  <sheetViews>
    <sheetView zoomScale="70" zoomScaleNormal="70" workbookViewId="0">
      <selection activeCell="C29" sqref="C29"/>
    </sheetView>
  </sheetViews>
  <sheetFormatPr defaultRowHeight="17"/>
  <cols>
    <col min="1" max="1" width="9.5" bestFit="1" customWidth="1"/>
    <col min="3" max="4" width="11.08203125" bestFit="1" customWidth="1"/>
    <col min="13" max="13" width="9.25" bestFit="1" customWidth="1"/>
    <col min="20" max="20" width="11.5" customWidth="1"/>
    <col min="25" max="25" width="13" bestFit="1" customWidth="1"/>
    <col min="40" max="40" width="13" bestFit="1" customWidth="1"/>
    <col min="132" max="132" width="18.33203125" bestFit="1" customWidth="1"/>
    <col min="147" max="147" width="12.08203125" bestFit="1" customWidth="1"/>
    <col min="148" max="148" width="10.58203125" bestFit="1" customWidth="1"/>
  </cols>
  <sheetData>
    <row r="1" spans="1:105">
      <c r="A1" t="s">
        <v>154</v>
      </c>
    </row>
    <row r="2" spans="1:105" ht="20.5">
      <c r="A2" t="s">
        <v>153</v>
      </c>
      <c r="B2" t="s">
        <v>848</v>
      </c>
      <c r="Y2" t="s">
        <v>686</v>
      </c>
      <c r="CS2" s="364" t="s">
        <v>774</v>
      </c>
      <c r="DA2" s="364" t="s">
        <v>774</v>
      </c>
    </row>
    <row r="3" spans="1:105" ht="30">
      <c r="Y3" s="254">
        <v>2024</v>
      </c>
      <c r="AN3" s="254">
        <v>2028</v>
      </c>
      <c r="CQ3" s="364" t="s">
        <v>781</v>
      </c>
      <c r="CS3" t="s">
        <v>773</v>
      </c>
    </row>
    <row r="4" spans="1:105">
      <c r="B4" t="s">
        <v>192</v>
      </c>
      <c r="G4" t="s">
        <v>194</v>
      </c>
      <c r="AA4" s="539" t="s">
        <v>165</v>
      </c>
      <c r="AB4" s="540"/>
      <c r="AC4" s="540"/>
      <c r="AD4" s="540"/>
      <c r="AE4" s="540"/>
      <c r="AF4" s="541"/>
      <c r="AG4" s="542" t="s">
        <v>166</v>
      </c>
      <c r="AH4" s="543"/>
      <c r="AP4" s="539" t="s">
        <v>165</v>
      </c>
      <c r="AQ4" s="540"/>
      <c r="AR4" s="540"/>
      <c r="AS4" s="540"/>
      <c r="AT4" s="540"/>
      <c r="AU4" s="541"/>
      <c r="AV4" s="542" t="s">
        <v>166</v>
      </c>
      <c r="AW4" s="543"/>
      <c r="CQ4" t="s">
        <v>780</v>
      </c>
      <c r="CS4" t="s">
        <v>777</v>
      </c>
      <c r="DA4" s="32" t="s">
        <v>778</v>
      </c>
    </row>
    <row r="5" spans="1:105" ht="17.5" thickBot="1">
      <c r="B5" t="s">
        <v>172</v>
      </c>
      <c r="G5" t="s">
        <v>193</v>
      </c>
      <c r="AA5" s="539" t="s">
        <v>44</v>
      </c>
      <c r="AB5" s="541"/>
      <c r="AC5" s="539" t="s">
        <v>45</v>
      </c>
      <c r="AD5" s="541"/>
      <c r="AE5" s="539" t="s">
        <v>46</v>
      </c>
      <c r="AF5" s="541"/>
      <c r="AG5" s="544"/>
      <c r="AH5" s="545"/>
      <c r="AI5" s="531"/>
      <c r="AJ5" s="531"/>
      <c r="AK5" s="531"/>
      <c r="AP5" s="539" t="s">
        <v>44</v>
      </c>
      <c r="AQ5" s="541"/>
      <c r="AR5" s="539" t="s">
        <v>45</v>
      </c>
      <c r="AS5" s="541"/>
      <c r="AT5" s="539" t="s">
        <v>46</v>
      </c>
      <c r="AU5" s="541"/>
      <c r="AV5" s="544"/>
      <c r="AW5" s="545"/>
      <c r="AX5" s="531"/>
      <c r="AY5" s="531"/>
      <c r="AZ5" s="531"/>
      <c r="CP5" t="s">
        <v>782</v>
      </c>
      <c r="CQ5" t="s">
        <v>776</v>
      </c>
      <c r="CS5" s="98"/>
      <c r="CT5" s="98" t="s">
        <v>764</v>
      </c>
      <c r="CU5" s="98" t="s">
        <v>765</v>
      </c>
      <c r="CV5" s="363" t="s">
        <v>766</v>
      </c>
      <c r="CW5" s="306" t="s">
        <v>767</v>
      </c>
      <c r="CX5" s="98" t="s">
        <v>768</v>
      </c>
      <c r="CY5" s="98" t="s">
        <v>769</v>
      </c>
      <c r="DA5" s="368">
        <v>2.8500000000000001E-2</v>
      </c>
    </row>
    <row r="6" spans="1:105" ht="18" customHeight="1" thickTop="1" thickBot="1">
      <c r="B6" s="558" t="s">
        <v>39</v>
      </c>
      <c r="C6" s="559"/>
      <c r="D6" s="562" t="s">
        <v>163</v>
      </c>
      <c r="E6" s="563"/>
      <c r="G6" s="32" t="s">
        <v>189</v>
      </c>
      <c r="Y6" t="s">
        <v>34</v>
      </c>
      <c r="Z6" t="s">
        <v>148</v>
      </c>
      <c r="AA6" s="53" t="s">
        <v>40</v>
      </c>
      <c r="AB6" s="53" t="s">
        <v>41</v>
      </c>
      <c r="AC6" s="53" t="s">
        <v>40</v>
      </c>
      <c r="AD6" s="54" t="s">
        <v>41</v>
      </c>
      <c r="AE6" s="53" t="s">
        <v>40</v>
      </c>
      <c r="AF6" s="53" t="s">
        <v>41</v>
      </c>
      <c r="AG6" s="53" t="s">
        <v>40</v>
      </c>
      <c r="AH6" s="54" t="s">
        <v>41</v>
      </c>
      <c r="AI6" s="315"/>
      <c r="AJ6" s="315"/>
      <c r="AK6" s="315"/>
      <c r="AN6" t="s">
        <v>34</v>
      </c>
      <c r="AO6" t="s">
        <v>148</v>
      </c>
      <c r="AP6" s="53" t="s">
        <v>40</v>
      </c>
      <c r="AQ6" s="53" t="s">
        <v>41</v>
      </c>
      <c r="AR6" s="53" t="s">
        <v>40</v>
      </c>
      <c r="AS6" s="54" t="s">
        <v>41</v>
      </c>
      <c r="AT6" s="53" t="s">
        <v>40</v>
      </c>
      <c r="AU6" s="53" t="s">
        <v>41</v>
      </c>
      <c r="AV6" s="53" t="s">
        <v>40</v>
      </c>
      <c r="AW6" s="54" t="s">
        <v>41</v>
      </c>
      <c r="AX6" s="315"/>
      <c r="AY6" s="315"/>
      <c r="AZ6" s="315"/>
      <c r="CP6" s="97">
        <f>K41</f>
        <v>16313.351751474525</v>
      </c>
      <c r="CQ6">
        <v>2023</v>
      </c>
      <c r="CS6" s="98"/>
      <c r="CT6" s="98"/>
      <c r="CU6" s="369">
        <v>0</v>
      </c>
      <c r="CV6" s="371">
        <v>1</v>
      </c>
      <c r="CW6" s="370">
        <v>2</v>
      </c>
      <c r="CX6" s="369">
        <v>3</v>
      </c>
      <c r="CY6" s="369">
        <v>4</v>
      </c>
    </row>
    <row r="7" spans="1:105" ht="18" thickTop="1" thickBot="1">
      <c r="B7" s="560"/>
      <c r="C7" s="561"/>
      <c r="D7" s="36" t="s">
        <v>156</v>
      </c>
      <c r="E7" s="37" t="s">
        <v>157</v>
      </c>
      <c r="H7" t="s">
        <v>191</v>
      </c>
      <c r="Y7" t="s">
        <v>197</v>
      </c>
      <c r="Z7" t="s">
        <v>198</v>
      </c>
      <c r="AA7" s="17">
        <v>1081</v>
      </c>
      <c r="AB7" s="17">
        <v>1081</v>
      </c>
      <c r="AC7" s="16">
        <v>423</v>
      </c>
      <c r="AD7" s="55">
        <v>423</v>
      </c>
      <c r="AE7" s="16">
        <v>981</v>
      </c>
      <c r="AF7" s="16">
        <v>981</v>
      </c>
      <c r="AG7" s="17">
        <v>1034</v>
      </c>
      <c r="AH7" s="43">
        <v>1034</v>
      </c>
      <c r="AI7" s="71"/>
      <c r="AJ7" s="71"/>
      <c r="AK7" s="71"/>
      <c r="AN7" t="s">
        <v>197</v>
      </c>
      <c r="AO7" t="s">
        <v>198</v>
      </c>
      <c r="AP7" s="17">
        <v>1081</v>
      </c>
      <c r="AQ7" s="17">
        <v>1081</v>
      </c>
      <c r="AR7" s="16">
        <v>423</v>
      </c>
      <c r="AS7" s="55">
        <v>423</v>
      </c>
      <c r="AT7" s="16">
        <v>981</v>
      </c>
      <c r="AU7" s="16">
        <v>981</v>
      </c>
      <c r="AV7" s="17">
        <v>1036</v>
      </c>
      <c r="AW7" s="43">
        <v>1036</v>
      </c>
      <c r="AX7" s="71"/>
      <c r="AY7" s="71"/>
      <c r="AZ7" s="71"/>
      <c r="CS7" s="98" t="s">
        <v>770</v>
      </c>
      <c r="CT7" s="98">
        <v>100000</v>
      </c>
      <c r="CU7" s="365">
        <v>0.3</v>
      </c>
      <c r="CV7" s="372">
        <v>0.7</v>
      </c>
      <c r="CW7" s="366">
        <v>0.85</v>
      </c>
      <c r="CX7" s="365">
        <v>0.95</v>
      </c>
      <c r="CY7" s="365">
        <v>1</v>
      </c>
    </row>
    <row r="8" spans="1:105" ht="18" thickTop="1" thickBot="1">
      <c r="B8" s="564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  <c r="Y8" s="56" t="s">
        <v>197</v>
      </c>
      <c r="Z8" s="20" t="s">
        <v>199</v>
      </c>
      <c r="AA8" s="17">
        <v>1075</v>
      </c>
      <c r="AB8" s="17">
        <v>1075</v>
      </c>
      <c r="AC8" s="16">
        <v>420</v>
      </c>
      <c r="AD8" s="55">
        <v>420</v>
      </c>
      <c r="AE8" s="16">
        <v>975</v>
      </c>
      <c r="AF8" s="16">
        <v>975</v>
      </c>
      <c r="AG8" s="17">
        <v>1028</v>
      </c>
      <c r="AH8" s="43">
        <v>1028</v>
      </c>
      <c r="AI8" s="71"/>
      <c r="AJ8" s="71"/>
      <c r="AK8" s="71"/>
      <c r="AN8" s="56" t="s">
        <v>197</v>
      </c>
      <c r="AO8" s="20" t="s">
        <v>199</v>
      </c>
      <c r="AP8" s="17">
        <v>1075</v>
      </c>
      <c r="AQ8" s="17">
        <v>1075</v>
      </c>
      <c r="AR8" s="16">
        <v>420</v>
      </c>
      <c r="AS8" s="55">
        <v>420</v>
      </c>
      <c r="AT8" s="16">
        <v>975</v>
      </c>
      <c r="AU8" s="16">
        <v>975</v>
      </c>
      <c r="AV8" s="17">
        <v>1030</v>
      </c>
      <c r="AW8" s="43">
        <v>1030</v>
      </c>
      <c r="AX8" s="71"/>
      <c r="AY8" s="71"/>
      <c r="AZ8" s="71"/>
      <c r="CS8" s="98" t="s">
        <v>771</v>
      </c>
      <c r="CT8" s="98">
        <v>50000</v>
      </c>
      <c r="CU8" s="365">
        <v>0.5</v>
      </c>
      <c r="CV8" s="372">
        <v>0.8</v>
      </c>
      <c r="CW8" s="366">
        <v>0.9</v>
      </c>
      <c r="CX8" s="365">
        <v>1</v>
      </c>
      <c r="CY8" s="365">
        <v>1</v>
      </c>
    </row>
    <row r="9" spans="1:105" ht="18" thickTop="1" thickBot="1">
      <c r="B9" s="565"/>
      <c r="C9" s="46" t="s">
        <v>166</v>
      </c>
      <c r="D9" s="46">
        <v>1.59</v>
      </c>
      <c r="E9" s="47">
        <v>1.7</v>
      </c>
      <c r="Y9" t="s">
        <v>197</v>
      </c>
      <c r="Z9" t="s">
        <v>200</v>
      </c>
      <c r="AA9" s="16">
        <v>881</v>
      </c>
      <c r="AB9" s="16">
        <v>881</v>
      </c>
      <c r="AC9" s="16">
        <v>344</v>
      </c>
      <c r="AD9" s="55">
        <v>344</v>
      </c>
      <c r="AE9" s="16">
        <v>799</v>
      </c>
      <c r="AF9" s="16">
        <v>799</v>
      </c>
      <c r="AG9" s="16">
        <v>842</v>
      </c>
      <c r="AH9" s="55">
        <v>842</v>
      </c>
      <c r="AI9" s="71"/>
      <c r="AJ9" s="71"/>
      <c r="AK9" s="71"/>
      <c r="AN9" t="s">
        <v>197</v>
      </c>
      <c r="AO9" t="s">
        <v>200</v>
      </c>
      <c r="AP9" s="16">
        <v>881</v>
      </c>
      <c r="AQ9" s="16">
        <v>881</v>
      </c>
      <c r="AR9" s="16">
        <v>344</v>
      </c>
      <c r="AS9" s="55">
        <v>344</v>
      </c>
      <c r="AT9" s="16">
        <v>799</v>
      </c>
      <c r="AU9" s="16">
        <v>799</v>
      </c>
      <c r="AV9" s="16">
        <v>844</v>
      </c>
      <c r="AW9" s="55">
        <v>844</v>
      </c>
      <c r="AX9" s="71"/>
      <c r="AY9" s="71"/>
      <c r="AZ9" s="71"/>
      <c r="CS9" s="306" t="s">
        <v>772</v>
      </c>
      <c r="CT9" s="306">
        <v>49999</v>
      </c>
      <c r="CU9" s="366">
        <v>0.7</v>
      </c>
      <c r="CV9" s="373">
        <v>0.9</v>
      </c>
      <c r="CW9" s="367">
        <v>1</v>
      </c>
      <c r="CX9" s="366">
        <v>1</v>
      </c>
      <c r="CY9" s="366">
        <v>1</v>
      </c>
    </row>
    <row r="10" spans="1:105" ht="18" thickTop="1" thickBot="1">
      <c r="B10" s="566" t="s">
        <v>13</v>
      </c>
      <c r="C10" s="46" t="s">
        <v>9</v>
      </c>
      <c r="D10" s="46">
        <v>1.38</v>
      </c>
      <c r="E10" s="47">
        <v>1.48</v>
      </c>
      <c r="Y10" t="s">
        <v>197</v>
      </c>
      <c r="Z10" t="s">
        <v>201</v>
      </c>
      <c r="AA10" s="16">
        <v>898</v>
      </c>
      <c r="AB10" s="16">
        <v>898</v>
      </c>
      <c r="AC10" s="16">
        <v>351</v>
      </c>
      <c r="AD10" s="55">
        <v>351</v>
      </c>
      <c r="AE10" s="16">
        <v>815</v>
      </c>
      <c r="AF10" s="16">
        <v>815</v>
      </c>
      <c r="AG10" s="16">
        <v>859</v>
      </c>
      <c r="AH10" s="55">
        <v>859</v>
      </c>
      <c r="AI10" s="68"/>
      <c r="AJ10" s="68"/>
      <c r="AK10" s="68"/>
      <c r="AN10" t="s">
        <v>197</v>
      </c>
      <c r="AO10" t="s">
        <v>201</v>
      </c>
      <c r="AP10" s="16">
        <v>898</v>
      </c>
      <c r="AQ10" s="16">
        <v>898</v>
      </c>
      <c r="AR10" s="16">
        <v>351</v>
      </c>
      <c r="AS10" s="55">
        <v>351</v>
      </c>
      <c r="AT10" s="16">
        <v>815</v>
      </c>
      <c r="AU10" s="16">
        <v>815</v>
      </c>
      <c r="AV10" s="16">
        <v>861</v>
      </c>
      <c r="AW10" s="55">
        <v>861</v>
      </c>
      <c r="AX10" s="68"/>
      <c r="AY10" s="68"/>
      <c r="AZ10" s="68"/>
    </row>
    <row r="11" spans="1:105" ht="18" thickTop="1" thickBot="1">
      <c r="B11" s="565"/>
      <c r="C11" s="46" t="s">
        <v>10</v>
      </c>
      <c r="D11" s="46">
        <v>1.6</v>
      </c>
      <c r="E11" s="47">
        <v>1.56</v>
      </c>
      <c r="Y11" t="s">
        <v>135</v>
      </c>
      <c r="Z11" t="s">
        <v>12</v>
      </c>
      <c r="AA11" s="16">
        <v>112</v>
      </c>
      <c r="AB11" s="16">
        <v>112</v>
      </c>
      <c r="AC11" s="16">
        <v>44</v>
      </c>
      <c r="AD11" s="55">
        <v>44</v>
      </c>
      <c r="AE11" s="16">
        <v>100</v>
      </c>
      <c r="AF11" s="16">
        <v>100</v>
      </c>
      <c r="AG11" s="16">
        <v>106</v>
      </c>
      <c r="AH11" s="55">
        <v>106</v>
      </c>
      <c r="AI11" s="69"/>
      <c r="AJ11" s="69"/>
      <c r="AK11" s="69"/>
      <c r="AN11" t="s">
        <v>135</v>
      </c>
      <c r="AO11" t="s">
        <v>12</v>
      </c>
      <c r="AP11" s="16">
        <v>112</v>
      </c>
      <c r="AQ11" s="16">
        <v>112</v>
      </c>
      <c r="AR11" s="16">
        <v>44</v>
      </c>
      <c r="AS11" s="55">
        <v>44</v>
      </c>
      <c r="AT11" s="16">
        <v>100</v>
      </c>
      <c r="AU11" s="16">
        <v>100</v>
      </c>
      <c r="AV11" s="16">
        <v>106</v>
      </c>
      <c r="AW11" s="55">
        <v>106</v>
      </c>
      <c r="AX11" s="69"/>
      <c r="AY11" s="69"/>
      <c r="AZ11" s="69"/>
    </row>
    <row r="12" spans="1:105" ht="17.5" thickTop="1">
      <c r="B12" s="566" t="s">
        <v>167</v>
      </c>
      <c r="C12" s="46" t="s">
        <v>9</v>
      </c>
      <c r="D12" s="46">
        <v>1.25</v>
      </c>
      <c r="E12" s="47">
        <v>1.25</v>
      </c>
      <c r="AA12" s="532" t="s">
        <v>286</v>
      </c>
      <c r="AB12" s="533"/>
      <c r="AC12" s="532" t="s">
        <v>287</v>
      </c>
      <c r="AD12" s="534"/>
      <c r="AP12" s="532" t="s">
        <v>286</v>
      </c>
      <c r="AQ12" s="533"/>
      <c r="AR12" s="532" t="s">
        <v>287</v>
      </c>
      <c r="AS12" s="534"/>
    </row>
    <row r="13" spans="1:105" ht="17.5" thickBot="1">
      <c r="B13" s="565"/>
      <c r="C13" s="46" t="s">
        <v>10</v>
      </c>
      <c r="D13" s="46">
        <v>1.47</v>
      </c>
      <c r="E13" s="47">
        <v>1.73</v>
      </c>
      <c r="AA13" s="53" t="s">
        <v>40</v>
      </c>
      <c r="AB13" s="53" t="s">
        <v>41</v>
      </c>
      <c r="AC13" s="53" t="s">
        <v>40</v>
      </c>
      <c r="AD13" s="54" t="s">
        <v>41</v>
      </c>
      <c r="AP13" s="53" t="s">
        <v>40</v>
      </c>
      <c r="AQ13" s="53" t="s">
        <v>41</v>
      </c>
      <c r="AR13" s="53" t="s">
        <v>40</v>
      </c>
      <c r="AS13" s="54" t="s">
        <v>41</v>
      </c>
    </row>
    <row r="14" spans="1:105" ht="18" thickTop="1" thickBot="1">
      <c r="B14" s="566" t="s">
        <v>168</v>
      </c>
      <c r="C14" s="46" t="s">
        <v>9</v>
      </c>
      <c r="D14" s="46">
        <v>1.35</v>
      </c>
      <c r="E14" s="47">
        <v>1.4</v>
      </c>
      <c r="Y14" t="s">
        <v>136</v>
      </c>
      <c r="Z14" t="s">
        <v>13</v>
      </c>
      <c r="AA14" s="16">
        <v>345</v>
      </c>
      <c r="AB14" s="16">
        <v>345</v>
      </c>
      <c r="AC14" s="17">
        <v>3650</v>
      </c>
      <c r="AD14" s="43">
        <v>3650</v>
      </c>
      <c r="AE14" s="69"/>
      <c r="AF14" s="69"/>
      <c r="AG14" s="68"/>
      <c r="AH14" s="68"/>
      <c r="AI14" s="68"/>
      <c r="AJ14" s="68"/>
      <c r="AK14" s="68"/>
      <c r="AN14" t="s">
        <v>136</v>
      </c>
      <c r="AO14" t="s">
        <v>13</v>
      </c>
      <c r="AP14" s="16">
        <v>345</v>
      </c>
      <c r="AQ14" s="16">
        <v>345</v>
      </c>
      <c r="AR14" s="17">
        <v>3657</v>
      </c>
      <c r="AS14" s="43">
        <v>3657</v>
      </c>
      <c r="AT14" s="69"/>
      <c r="AU14" s="69"/>
      <c r="AV14" s="68"/>
      <c r="AW14" s="68"/>
      <c r="AX14" s="68"/>
      <c r="AY14" s="68"/>
      <c r="AZ14" s="68"/>
    </row>
    <row r="15" spans="1:105" ht="18" thickTop="1" thickBot="1">
      <c r="B15" s="565"/>
      <c r="C15" s="46" t="s">
        <v>10</v>
      </c>
      <c r="D15" s="46">
        <v>1.6</v>
      </c>
      <c r="E15" s="47">
        <v>1.73</v>
      </c>
      <c r="Y15" t="s">
        <v>206</v>
      </c>
      <c r="Z15" t="s">
        <v>167</v>
      </c>
      <c r="AA15" s="17">
        <v>1318</v>
      </c>
      <c r="AB15" s="17">
        <v>1318</v>
      </c>
      <c r="AC15" s="17">
        <v>8098</v>
      </c>
      <c r="AD15" s="43">
        <v>8098</v>
      </c>
      <c r="AE15" s="68"/>
      <c r="AF15" s="68"/>
      <c r="AG15" s="68"/>
      <c r="AH15" s="68"/>
      <c r="AI15" s="68"/>
      <c r="AJ15" s="68"/>
      <c r="AK15" s="68"/>
      <c r="AN15" t="s">
        <v>206</v>
      </c>
      <c r="AO15" t="s">
        <v>167</v>
      </c>
      <c r="AP15" s="17">
        <v>1318</v>
      </c>
      <c r="AQ15" s="17">
        <v>1318</v>
      </c>
      <c r="AR15" s="17">
        <v>8113</v>
      </c>
      <c r="AS15" s="43">
        <v>8113</v>
      </c>
      <c r="AT15" s="68"/>
      <c r="AU15" s="68"/>
      <c r="AV15" s="68"/>
      <c r="AW15" s="68"/>
      <c r="AX15" s="68"/>
      <c r="AY15" s="68"/>
      <c r="AZ15" s="68"/>
    </row>
    <row r="16" spans="1:105" ht="18" thickTop="1" thickBot="1">
      <c r="B16" s="566" t="s">
        <v>47</v>
      </c>
      <c r="C16" s="46" t="s">
        <v>9</v>
      </c>
      <c r="D16" s="46">
        <v>1.33</v>
      </c>
      <c r="E16" s="47">
        <v>1.55</v>
      </c>
      <c r="Y16" t="s">
        <v>207</v>
      </c>
      <c r="Z16" t="s">
        <v>168</v>
      </c>
      <c r="AA16" s="17">
        <v>4945</v>
      </c>
      <c r="AB16" s="17">
        <v>4945</v>
      </c>
      <c r="AC16" s="17">
        <v>8833</v>
      </c>
      <c r="AD16" s="43">
        <v>8833</v>
      </c>
      <c r="AE16" s="68"/>
      <c r="AF16" s="68"/>
      <c r="AG16" s="68"/>
      <c r="AH16" s="68"/>
      <c r="AI16" s="68"/>
      <c r="AJ16" s="68"/>
      <c r="AK16" s="68"/>
      <c r="AN16" t="s">
        <v>207</v>
      </c>
      <c r="AO16" t="s">
        <v>168</v>
      </c>
      <c r="AP16" s="17">
        <v>4945</v>
      </c>
      <c r="AQ16" s="17">
        <v>4945</v>
      </c>
      <c r="AR16" s="17">
        <v>8849</v>
      </c>
      <c r="AS16" s="43">
        <v>8849</v>
      </c>
      <c r="AT16" s="68"/>
      <c r="AU16" s="68"/>
      <c r="AV16" s="68"/>
      <c r="AW16" s="68"/>
      <c r="AX16" s="68"/>
      <c r="AY16" s="68"/>
      <c r="AZ16" s="68"/>
    </row>
    <row r="17" spans="1:75" ht="18" thickTop="1" thickBot="1">
      <c r="B17" s="565"/>
      <c r="C17" s="46" t="s">
        <v>10</v>
      </c>
      <c r="D17" s="46">
        <v>1.43</v>
      </c>
      <c r="E17" s="47">
        <v>1.54</v>
      </c>
      <c r="Y17" t="s">
        <v>208</v>
      </c>
      <c r="Z17" t="s">
        <v>47</v>
      </c>
      <c r="AA17" s="16">
        <v>848</v>
      </c>
      <c r="AB17" s="16">
        <v>848</v>
      </c>
      <c r="AC17" s="17">
        <v>2550</v>
      </c>
      <c r="AD17" s="43">
        <v>2550</v>
      </c>
      <c r="AE17" s="68"/>
      <c r="AF17" s="68"/>
      <c r="AG17" s="69"/>
      <c r="AH17" s="69"/>
      <c r="AI17" s="68"/>
      <c r="AJ17" s="68"/>
      <c r="AK17" s="68"/>
      <c r="AN17" t="s">
        <v>208</v>
      </c>
      <c r="AO17" t="s">
        <v>47</v>
      </c>
      <c r="AP17" s="16">
        <v>848</v>
      </c>
      <c r="AQ17" s="16">
        <v>848</v>
      </c>
      <c r="AR17" s="17">
        <v>2554</v>
      </c>
      <c r="AS17" s="43">
        <v>2554</v>
      </c>
      <c r="AT17" s="68"/>
      <c r="AU17" s="68"/>
      <c r="AV17" s="69"/>
      <c r="AW17" s="69"/>
      <c r="AX17" s="68"/>
      <c r="AY17" s="68"/>
      <c r="AZ17" s="68"/>
    </row>
    <row r="18" spans="1:75" ht="18" thickTop="1" thickBot="1">
      <c r="B18" s="566" t="s">
        <v>169</v>
      </c>
      <c r="C18" s="46" t="s">
        <v>9</v>
      </c>
      <c r="D18" s="46">
        <v>1.33</v>
      </c>
      <c r="E18" s="47">
        <v>1.55</v>
      </c>
      <c r="Y18" t="s">
        <v>209</v>
      </c>
      <c r="Z18" t="s">
        <v>169</v>
      </c>
      <c r="AA18" s="17">
        <v>1567</v>
      </c>
      <c r="AB18" s="17">
        <v>1567</v>
      </c>
      <c r="AC18" s="17">
        <v>6410</v>
      </c>
      <c r="AD18" s="43">
        <v>6410</v>
      </c>
      <c r="AE18" s="68"/>
      <c r="AF18" s="68"/>
      <c r="AG18" s="68"/>
      <c r="AH18" s="68"/>
      <c r="AI18" s="68"/>
      <c r="AJ18" s="68"/>
      <c r="AK18" s="68"/>
      <c r="AN18" t="s">
        <v>209</v>
      </c>
      <c r="AO18" t="s">
        <v>169</v>
      </c>
      <c r="AP18" s="17">
        <v>1567</v>
      </c>
      <c r="AQ18" s="17">
        <v>1567</v>
      </c>
      <c r="AR18" s="17">
        <v>6422</v>
      </c>
      <c r="AS18" s="43">
        <v>6422</v>
      </c>
      <c r="AT18" s="68"/>
      <c r="AU18" s="68"/>
      <c r="AV18" s="68"/>
      <c r="AW18" s="68"/>
      <c r="AX18" s="68"/>
      <c r="AY18" s="68"/>
      <c r="AZ18" s="68"/>
    </row>
    <row r="19" spans="1:75" ht="18" thickTop="1" thickBot="1">
      <c r="B19" s="565"/>
      <c r="C19" s="46" t="s">
        <v>10</v>
      </c>
      <c r="D19" s="46">
        <v>1.43</v>
      </c>
      <c r="E19" s="47">
        <v>1.54</v>
      </c>
      <c r="Y19" t="s">
        <v>210</v>
      </c>
      <c r="Z19" t="s">
        <v>170</v>
      </c>
      <c r="AA19" s="17">
        <v>1296</v>
      </c>
      <c r="AB19" s="17">
        <v>1296</v>
      </c>
      <c r="AC19" s="17">
        <v>13545</v>
      </c>
      <c r="AD19" s="43">
        <v>13545</v>
      </c>
      <c r="AE19" s="68"/>
      <c r="AF19" s="68"/>
      <c r="AG19" s="68"/>
      <c r="AH19" s="68"/>
      <c r="AI19" s="68"/>
      <c r="AJ19" s="68"/>
      <c r="AK19" s="68"/>
      <c r="AN19" t="s">
        <v>210</v>
      </c>
      <c r="AO19" t="s">
        <v>170</v>
      </c>
      <c r="AP19" s="17">
        <v>1296</v>
      </c>
      <c r="AQ19" s="17">
        <v>1296</v>
      </c>
      <c r="AR19" s="17">
        <v>13569</v>
      </c>
      <c r="AS19" s="43">
        <v>13569</v>
      </c>
      <c r="AT19" s="68"/>
      <c r="AU19" s="68"/>
      <c r="AV19" s="68"/>
      <c r="AW19" s="68"/>
      <c r="AX19" s="68"/>
      <c r="AY19" s="68"/>
      <c r="AZ19" s="68"/>
    </row>
    <row r="20" spans="1:75" ht="18" thickTop="1" thickBot="1">
      <c r="B20" s="566" t="s">
        <v>170</v>
      </c>
      <c r="C20" s="46" t="s">
        <v>9</v>
      </c>
      <c r="D20" s="46">
        <v>1.33</v>
      </c>
      <c r="E20" s="47">
        <v>1.55</v>
      </c>
      <c r="Y20" t="s">
        <v>211</v>
      </c>
      <c r="Z20" t="s">
        <v>171</v>
      </c>
      <c r="AA20" s="16">
        <v>44</v>
      </c>
      <c r="AB20" s="16">
        <v>44</v>
      </c>
      <c r="AC20" s="16">
        <v>45</v>
      </c>
      <c r="AD20" s="16">
        <v>45</v>
      </c>
      <c r="AE20" s="69"/>
      <c r="AF20" s="69"/>
      <c r="AG20" s="69"/>
      <c r="AH20" s="69"/>
      <c r="AI20" s="69"/>
      <c r="AJ20" s="69"/>
      <c r="AK20" s="69"/>
      <c r="AN20" t="s">
        <v>211</v>
      </c>
      <c r="AO20" t="s">
        <v>171</v>
      </c>
      <c r="AP20" s="16">
        <v>44</v>
      </c>
      <c r="AQ20" s="16">
        <v>44</v>
      </c>
      <c r="AR20" s="16">
        <v>45</v>
      </c>
      <c r="AS20" s="16">
        <v>45</v>
      </c>
      <c r="AT20" s="69"/>
      <c r="AU20" s="69"/>
      <c r="AV20" s="69"/>
      <c r="AW20" s="69"/>
      <c r="AX20" s="69"/>
      <c r="AY20" s="69"/>
      <c r="AZ20" s="69"/>
    </row>
    <row r="21" spans="1:75" ht="17.5" thickTop="1">
      <c r="B21" s="565"/>
      <c r="C21" s="46" t="s">
        <v>10</v>
      </c>
      <c r="D21" s="46">
        <v>1.43</v>
      </c>
      <c r="E21" s="47">
        <v>1.54</v>
      </c>
      <c r="Y21" t="s">
        <v>779</v>
      </c>
      <c r="Z21" t="s">
        <v>26</v>
      </c>
      <c r="AA21" s="56">
        <f t="shared" ref="AA21:AH21" si="0">SUM(AA7:AA20)</f>
        <v>14410</v>
      </c>
      <c r="AB21" s="56">
        <f t="shared" si="0"/>
        <v>14410</v>
      </c>
      <c r="AC21" s="56">
        <f t="shared" si="0"/>
        <v>44713</v>
      </c>
      <c r="AD21" s="56">
        <f t="shared" si="0"/>
        <v>44713</v>
      </c>
      <c r="AE21" s="56">
        <f t="shared" si="0"/>
        <v>3670</v>
      </c>
      <c r="AF21" s="56">
        <f t="shared" si="0"/>
        <v>3670</v>
      </c>
      <c r="AG21" s="56">
        <f t="shared" si="0"/>
        <v>3869</v>
      </c>
      <c r="AH21" s="56">
        <f t="shared" si="0"/>
        <v>3869</v>
      </c>
      <c r="AI21" s="56"/>
      <c r="AJ21" s="56"/>
      <c r="AK21" s="56"/>
      <c r="AN21" t="s">
        <v>26</v>
      </c>
      <c r="AO21" t="s">
        <v>26</v>
      </c>
      <c r="AP21" s="56">
        <f t="shared" ref="AP21:AW21" si="1">SUM(AP7:AP20)</f>
        <v>14410</v>
      </c>
      <c r="AQ21" s="56">
        <f t="shared" si="1"/>
        <v>14410</v>
      </c>
      <c r="AR21" s="56">
        <f t="shared" si="1"/>
        <v>44791</v>
      </c>
      <c r="AS21" s="56">
        <f t="shared" si="1"/>
        <v>44791</v>
      </c>
      <c r="AT21" s="56">
        <f t="shared" si="1"/>
        <v>3670</v>
      </c>
      <c r="AU21" s="56">
        <f t="shared" si="1"/>
        <v>3670</v>
      </c>
      <c r="AV21" s="56">
        <f t="shared" si="1"/>
        <v>3877</v>
      </c>
      <c r="AW21" s="56">
        <f t="shared" si="1"/>
        <v>3877</v>
      </c>
      <c r="AX21" s="56"/>
      <c r="AY21" s="56"/>
      <c r="AZ21" s="56"/>
      <c r="BF21">
        <v>0.01</v>
      </c>
    </row>
    <row r="22" spans="1:75">
      <c r="B22" s="566" t="s">
        <v>171</v>
      </c>
      <c r="C22" s="46" t="s">
        <v>9</v>
      </c>
      <c r="D22" s="46">
        <v>1.27</v>
      </c>
      <c r="E22" s="47">
        <v>1.35</v>
      </c>
    </row>
    <row r="23" spans="1:75" ht="17.5" thickBot="1">
      <c r="B23" s="572"/>
      <c r="C23" s="48" t="s">
        <v>10</v>
      </c>
      <c r="D23" s="48">
        <v>1.27</v>
      </c>
      <c r="E23" s="49">
        <v>1.35</v>
      </c>
    </row>
    <row r="24" spans="1:75" ht="31" thickTop="1" thickBot="1">
      <c r="B24" s="56"/>
      <c r="C24" s="56"/>
      <c r="D24" s="56"/>
      <c r="E24" s="56"/>
      <c r="Y24" s="254">
        <v>2025</v>
      </c>
      <c r="AM24" s="254">
        <v>2028</v>
      </c>
    </row>
    <row r="25" spans="1:75" ht="18" thickTop="1" thickBot="1">
      <c r="L25" s="64" t="s">
        <v>196</v>
      </c>
      <c r="O25" t="s">
        <v>215</v>
      </c>
      <c r="AA25" s="537" t="s">
        <v>156</v>
      </c>
      <c r="AB25" s="538"/>
      <c r="AC25" s="531" t="s">
        <v>157</v>
      </c>
      <c r="AD25" s="531"/>
      <c r="AE25" s="531" t="s">
        <v>158</v>
      </c>
      <c r="AF25" s="531"/>
      <c r="AG25" s="531" t="s">
        <v>159</v>
      </c>
      <c r="AH25" s="531"/>
      <c r="AI25" s="531" t="s">
        <v>160</v>
      </c>
      <c r="AJ25" s="531"/>
      <c r="AK25" s="531"/>
      <c r="AP25" s="537" t="s">
        <v>156</v>
      </c>
      <c r="AQ25" s="538"/>
      <c r="AR25" s="531" t="s">
        <v>157</v>
      </c>
      <c r="AS25" s="531"/>
      <c r="AT25" s="531" t="s">
        <v>158</v>
      </c>
      <c r="AU25" s="531"/>
      <c r="AV25" s="531" t="s">
        <v>159</v>
      </c>
      <c r="AW25" s="531"/>
      <c r="AX25" s="531" t="s">
        <v>160</v>
      </c>
      <c r="AY25" s="531"/>
      <c r="AZ25" s="531"/>
      <c r="BG25" s="535" t="s">
        <v>39</v>
      </c>
      <c r="BH25" s="535"/>
      <c r="BI25" s="536"/>
      <c r="BJ25" s="332" t="s">
        <v>156</v>
      </c>
      <c r="BK25" s="332" t="s">
        <v>157</v>
      </c>
      <c r="BL25" s="332" t="s">
        <v>158</v>
      </c>
      <c r="BM25" s="332" t="s">
        <v>159</v>
      </c>
      <c r="BN25" s="333" t="s">
        <v>11</v>
      </c>
      <c r="BP25" s="535" t="s">
        <v>39</v>
      </c>
      <c r="BQ25" s="535"/>
      <c r="BR25" s="536"/>
      <c r="BS25" s="332" t="s">
        <v>156</v>
      </c>
      <c r="BT25" s="332" t="s">
        <v>157</v>
      </c>
      <c r="BU25" s="332" t="s">
        <v>158</v>
      </c>
      <c r="BV25" s="332" t="s">
        <v>159</v>
      </c>
      <c r="BW25" s="333" t="s">
        <v>11</v>
      </c>
    </row>
    <row r="26" spans="1:75" ht="30.5" thickTop="1">
      <c r="A26" s="254">
        <v>2025</v>
      </c>
      <c r="Y26" t="s">
        <v>34</v>
      </c>
      <c r="Z26" t="s">
        <v>148</v>
      </c>
      <c r="AA26" s="315" t="s">
        <v>40</v>
      </c>
      <c r="AB26" s="315" t="s">
        <v>41</v>
      </c>
      <c r="AC26" s="315" t="s">
        <v>40</v>
      </c>
      <c r="AD26" s="315" t="s">
        <v>41</v>
      </c>
      <c r="AE26" s="315" t="s">
        <v>40</v>
      </c>
      <c r="AF26" s="315" t="s">
        <v>41</v>
      </c>
      <c r="AG26" s="315" t="s">
        <v>40</v>
      </c>
      <c r="AH26" s="315" t="s">
        <v>41</v>
      </c>
      <c r="AI26" s="315" t="s">
        <v>40</v>
      </c>
      <c r="AJ26" s="315" t="s">
        <v>41</v>
      </c>
      <c r="AK26" s="315" t="s">
        <v>21</v>
      </c>
      <c r="AN26" t="s">
        <v>34</v>
      </c>
      <c r="AO26" t="s">
        <v>148</v>
      </c>
      <c r="AP26" s="315" t="s">
        <v>40</v>
      </c>
      <c r="AQ26" s="315" t="s">
        <v>41</v>
      </c>
      <c r="AR26" s="315" t="s">
        <v>40</v>
      </c>
      <c r="AS26" s="315" t="s">
        <v>41</v>
      </c>
      <c r="AT26" s="315" t="s">
        <v>40</v>
      </c>
      <c r="AU26" s="315" t="s">
        <v>41</v>
      </c>
      <c r="AV26" s="315" t="s">
        <v>40</v>
      </c>
      <c r="AW26" s="315" t="s">
        <v>41</v>
      </c>
      <c r="AX26" s="315" t="s">
        <v>40</v>
      </c>
      <c r="AY26" s="315" t="s">
        <v>41</v>
      </c>
      <c r="AZ26" s="315" t="s">
        <v>21</v>
      </c>
      <c r="BG26" s="546" t="s">
        <v>684</v>
      </c>
      <c r="BH26" s="549" t="s">
        <v>247</v>
      </c>
      <c r="BI26" s="44" t="s">
        <v>44</v>
      </c>
      <c r="BJ26" s="44">
        <v>40.4</v>
      </c>
      <c r="BK26" s="44">
        <v>6</v>
      </c>
      <c r="BL26" s="44">
        <v>40</v>
      </c>
      <c r="BM26" s="44">
        <v>0</v>
      </c>
      <c r="BN26" s="45">
        <v>13.6</v>
      </c>
      <c r="BP26" s="546" t="s">
        <v>685</v>
      </c>
      <c r="BQ26" s="549" t="s">
        <v>247</v>
      </c>
      <c r="BR26" s="46" t="s">
        <v>44</v>
      </c>
      <c r="BS26" s="46">
        <v>40.4</v>
      </c>
      <c r="BT26" s="46">
        <v>6</v>
      </c>
      <c r="BU26" s="46">
        <v>40.1</v>
      </c>
      <c r="BV26" s="46">
        <v>0</v>
      </c>
      <c r="BW26" s="47">
        <v>13.5</v>
      </c>
    </row>
    <row r="27" spans="1:75">
      <c r="C27" s="537" t="s">
        <v>156</v>
      </c>
      <c r="D27" s="538"/>
      <c r="E27" s="531" t="s">
        <v>157</v>
      </c>
      <c r="F27" s="531"/>
      <c r="G27" s="531" t="s">
        <v>158</v>
      </c>
      <c r="H27" s="531"/>
      <c r="I27" s="531" t="s">
        <v>159</v>
      </c>
      <c r="J27" s="531"/>
      <c r="K27" s="531" t="s">
        <v>160</v>
      </c>
      <c r="L27" s="531"/>
      <c r="M27" s="531"/>
      <c r="Y27" t="s">
        <v>197</v>
      </c>
      <c r="Z27" t="s">
        <v>198</v>
      </c>
      <c r="AA27" s="314">
        <f t="shared" ref="AA27:AB31" si="2">AA7*$BJ$26*$BF$21 + AC7*$BJ$27*$BF$21+AE7*$BJ$28*$BF$21</f>
        <v>739.61</v>
      </c>
      <c r="AB27" s="314">
        <f t="shared" si="2"/>
        <v>739.61</v>
      </c>
      <c r="AC27" s="314">
        <f t="shared" ref="AC27:AD31" si="3">AA7*$BK$26*$BF$21 + AC7*$BK$27*$BF$21+AE7*$BK$28*$BF$21</f>
        <v>144.66300000000001</v>
      </c>
      <c r="AD27" s="314">
        <f t="shared" si="3"/>
        <v>144.66300000000001</v>
      </c>
      <c r="AE27" s="314">
        <f t="shared" ref="AE27:AF31" si="4">AA7*$BL$26*$BF$21 + AC7*$BL$27*$BF$21+AE7*$BL$28*$BF$21</f>
        <v>995.36800000000005</v>
      </c>
      <c r="AF27" s="314">
        <f t="shared" si="4"/>
        <v>995.36800000000005</v>
      </c>
      <c r="AG27" s="314"/>
      <c r="AH27" s="314"/>
      <c r="AI27" s="71"/>
      <c r="AJ27" s="71"/>
      <c r="AK27" s="71"/>
      <c r="AN27" t="s">
        <v>197</v>
      </c>
      <c r="AO27" t="s">
        <v>198</v>
      </c>
      <c r="AP27" s="314">
        <f t="shared" ref="AP27:AQ31" si="5">AP7*$BJ$26*$BF$21 + AR7*$BJ$27*$BF$21+AT7*$BJ$28*$BF$21</f>
        <v>739.61</v>
      </c>
      <c r="AQ27" s="314">
        <f t="shared" si="5"/>
        <v>739.61</v>
      </c>
      <c r="AR27" s="314">
        <f t="shared" ref="AR27:AS31" si="6">AP7*$BK$26*$BF$21 + AR7*$BK$27*$BF$21+AT7*$BK$28*$BF$21</f>
        <v>144.66300000000001</v>
      </c>
      <c r="AS27" s="314">
        <f t="shared" si="6"/>
        <v>144.66300000000001</v>
      </c>
      <c r="AT27" s="314">
        <f t="shared" ref="AT27:AU31" si="7">AP7*$BL$26*$BF$21 + AR7*$BL$27*$BF$21+AT7*$BL$28*$BF$21</f>
        <v>995.36800000000005</v>
      </c>
      <c r="AU27" s="314">
        <f t="shared" si="7"/>
        <v>995.36800000000005</v>
      </c>
      <c r="AV27" s="314"/>
      <c r="AW27" s="314"/>
      <c r="AX27" s="71"/>
      <c r="AY27" s="71"/>
      <c r="AZ27" s="71"/>
      <c r="BG27" s="547"/>
      <c r="BH27" s="550"/>
      <c r="BI27" s="46" t="s">
        <v>45</v>
      </c>
      <c r="BJ27" s="46">
        <v>6.9</v>
      </c>
      <c r="BK27" s="46">
        <v>2.4</v>
      </c>
      <c r="BL27" s="46">
        <v>38.700000000000003</v>
      </c>
      <c r="BM27" s="46">
        <v>0</v>
      </c>
      <c r="BN27" s="47">
        <v>52</v>
      </c>
      <c r="BP27" s="547"/>
      <c r="BQ27" s="550"/>
      <c r="BR27" s="46" t="s">
        <v>45</v>
      </c>
      <c r="BS27" s="46">
        <v>6.9</v>
      </c>
      <c r="BT27" s="46">
        <v>2.4</v>
      </c>
      <c r="BU27" s="46">
        <v>38.799999999999997</v>
      </c>
      <c r="BV27" s="46">
        <v>0</v>
      </c>
      <c r="BW27" s="47">
        <v>51.9</v>
      </c>
    </row>
    <row r="28" spans="1:75">
      <c r="A28" t="s">
        <v>34</v>
      </c>
      <c r="B28" t="s">
        <v>148</v>
      </c>
      <c r="C28" s="294" t="s">
        <v>40</v>
      </c>
      <c r="D28" s="294" t="s">
        <v>41</v>
      </c>
      <c r="E28" s="294" t="s">
        <v>40</v>
      </c>
      <c r="F28" s="294" t="s">
        <v>41</v>
      </c>
      <c r="G28" s="294" t="s">
        <v>40</v>
      </c>
      <c r="H28" s="294" t="s">
        <v>41</v>
      </c>
      <c r="I28" s="294" t="s">
        <v>40</v>
      </c>
      <c r="J28" s="294" t="s">
        <v>41</v>
      </c>
      <c r="K28" s="294" t="s">
        <v>40</v>
      </c>
      <c r="L28" s="294" t="s">
        <v>41</v>
      </c>
      <c r="M28" s="294" t="s">
        <v>21</v>
      </c>
      <c r="Y28" s="56" t="s">
        <v>197</v>
      </c>
      <c r="Z28" s="20" t="s">
        <v>199</v>
      </c>
      <c r="AA28" s="314">
        <f t="shared" si="2"/>
        <v>735.30500000000006</v>
      </c>
      <c r="AB28" s="314">
        <f t="shared" si="2"/>
        <v>735.30500000000006</v>
      </c>
      <c r="AC28" s="314">
        <f t="shared" si="3"/>
        <v>143.80500000000001</v>
      </c>
      <c r="AD28" s="314">
        <f t="shared" si="3"/>
        <v>143.80500000000001</v>
      </c>
      <c r="AE28" s="314">
        <f t="shared" si="4"/>
        <v>989.36500000000001</v>
      </c>
      <c r="AF28" s="314">
        <f t="shared" si="4"/>
        <v>989.36500000000001</v>
      </c>
      <c r="AG28" s="314"/>
      <c r="AH28" s="314"/>
      <c r="AI28" s="71"/>
      <c r="AJ28" s="71"/>
      <c r="AK28" s="71"/>
      <c r="AN28" s="56" t="s">
        <v>197</v>
      </c>
      <c r="AO28" s="20" t="s">
        <v>199</v>
      </c>
      <c r="AP28" s="314">
        <f t="shared" si="5"/>
        <v>735.30500000000006</v>
      </c>
      <c r="AQ28" s="314">
        <f t="shared" si="5"/>
        <v>735.30500000000006</v>
      </c>
      <c r="AR28" s="314">
        <f t="shared" si="6"/>
        <v>143.80500000000001</v>
      </c>
      <c r="AS28" s="314">
        <f t="shared" si="6"/>
        <v>143.80500000000001</v>
      </c>
      <c r="AT28" s="314">
        <f t="shared" si="7"/>
        <v>989.36500000000001</v>
      </c>
      <c r="AU28" s="314">
        <f t="shared" si="7"/>
        <v>989.36500000000001</v>
      </c>
      <c r="AV28" s="314"/>
      <c r="AW28" s="314"/>
      <c r="AX28" s="71"/>
      <c r="AY28" s="71"/>
      <c r="AZ28" s="71"/>
      <c r="BG28" s="547"/>
      <c r="BH28" s="550"/>
      <c r="BI28" s="46" t="s">
        <v>46</v>
      </c>
      <c r="BJ28" s="46">
        <v>27.9</v>
      </c>
      <c r="BK28" s="46">
        <v>7.1</v>
      </c>
      <c r="BL28" s="46">
        <v>40.700000000000003</v>
      </c>
      <c r="BM28" s="46">
        <v>0</v>
      </c>
      <c r="BN28" s="47">
        <v>24.3</v>
      </c>
      <c r="BP28" s="547"/>
      <c r="BQ28" s="550"/>
      <c r="BR28" s="46" t="s">
        <v>46</v>
      </c>
      <c r="BS28" s="46">
        <v>27.9</v>
      </c>
      <c r="BT28" s="46">
        <v>7.1</v>
      </c>
      <c r="BU28" s="46">
        <v>40.700000000000003</v>
      </c>
      <c r="BV28" s="46">
        <v>0</v>
      </c>
      <c r="BW28" s="47">
        <v>24.3</v>
      </c>
    </row>
    <row r="29" spans="1:75">
      <c r="A29" t="s">
        <v>197</v>
      </c>
      <c r="B29" t="s">
        <v>198</v>
      </c>
      <c r="C29" s="406">
        <f>AA27*(1+KTDB_발생량도착량_증가율!$C$8)</f>
        <v>764.22153231765003</v>
      </c>
      <c r="D29" s="406">
        <f>AB27*(1+KTDB_발생량도착량_증가율!$C$7)</f>
        <v>764.22153231765003</v>
      </c>
      <c r="E29" s="406">
        <f>AC27*(1+KTDB_발생량도착량_증가율!$C$8)</f>
        <v>149.47685878999502</v>
      </c>
      <c r="F29" s="406">
        <f>AD27*(1+KTDB_발생량도착량_증가율!$C$7)</f>
        <v>149.47685878999502</v>
      </c>
      <c r="G29" s="407">
        <f>AE27*(1+KTDB_발생량도착량_증가율!$C$8)</f>
        <v>1028.4902288773201</v>
      </c>
      <c r="H29" s="407">
        <f>AF27*(1+KTDB_발생량도착량_증가율!$C$7)</f>
        <v>1028.4902288773201</v>
      </c>
      <c r="I29" s="299"/>
      <c r="J29" s="299"/>
      <c r="K29" s="71">
        <f>C29+E29+G29</f>
        <v>1942.188619984965</v>
      </c>
      <c r="L29" s="71">
        <f t="shared" ref="L29:L40" si="8">D29+F29+H29</f>
        <v>1942.188619984965</v>
      </c>
      <c r="M29" s="71">
        <f>K29+L29</f>
        <v>3884.3772399699301</v>
      </c>
      <c r="Y29" t="s">
        <v>197</v>
      </c>
      <c r="Z29" t="s">
        <v>200</v>
      </c>
      <c r="AA29" s="314">
        <f t="shared" si="2"/>
        <v>602.58100000000002</v>
      </c>
      <c r="AB29" s="314">
        <f t="shared" si="2"/>
        <v>602.58100000000002</v>
      </c>
      <c r="AC29" s="314">
        <f t="shared" si="3"/>
        <v>117.845</v>
      </c>
      <c r="AD29" s="314">
        <f t="shared" si="3"/>
        <v>117.845</v>
      </c>
      <c r="AE29" s="314">
        <f t="shared" si="4"/>
        <v>810.721</v>
      </c>
      <c r="AF29" s="314">
        <f t="shared" si="4"/>
        <v>810.721</v>
      </c>
      <c r="AG29" s="314"/>
      <c r="AH29" s="314"/>
      <c r="AI29" s="71"/>
      <c r="AJ29" s="71"/>
      <c r="AK29" s="71"/>
      <c r="AN29" t="s">
        <v>197</v>
      </c>
      <c r="AO29" t="s">
        <v>200</v>
      </c>
      <c r="AP29" s="314">
        <f t="shared" si="5"/>
        <v>602.58100000000002</v>
      </c>
      <c r="AQ29" s="314">
        <f t="shared" si="5"/>
        <v>602.58100000000002</v>
      </c>
      <c r="AR29" s="314">
        <f t="shared" si="6"/>
        <v>117.845</v>
      </c>
      <c r="AS29" s="314">
        <f t="shared" si="6"/>
        <v>117.845</v>
      </c>
      <c r="AT29" s="314">
        <f t="shared" si="7"/>
        <v>810.721</v>
      </c>
      <c r="AU29" s="314">
        <f t="shared" si="7"/>
        <v>810.721</v>
      </c>
      <c r="AV29" s="314"/>
      <c r="AW29" s="314"/>
      <c r="AX29" s="71"/>
      <c r="AY29" s="71"/>
      <c r="AZ29" s="71"/>
      <c r="BG29" s="547"/>
      <c r="BH29" s="551"/>
      <c r="BI29" s="46" t="s">
        <v>166</v>
      </c>
      <c r="BJ29" s="46">
        <v>25</v>
      </c>
      <c r="BK29" s="46">
        <v>7.5</v>
      </c>
      <c r="BL29" s="46">
        <v>41.8</v>
      </c>
      <c r="BM29" s="46">
        <v>0</v>
      </c>
      <c r="BN29" s="47">
        <v>25.7</v>
      </c>
      <c r="BP29" s="547"/>
      <c r="BQ29" s="551"/>
      <c r="BR29" s="46" t="s">
        <v>166</v>
      </c>
      <c r="BS29" s="46">
        <v>25</v>
      </c>
      <c r="BT29" s="46">
        <v>7.5</v>
      </c>
      <c r="BU29" s="46">
        <v>41.9</v>
      </c>
      <c r="BV29" s="46">
        <v>0</v>
      </c>
      <c r="BW29" s="47">
        <v>25.6</v>
      </c>
    </row>
    <row r="30" spans="1:75">
      <c r="A30" s="56" t="s">
        <v>197</v>
      </c>
      <c r="B30" s="20" t="s">
        <v>199</v>
      </c>
      <c r="C30" s="406">
        <f>AA28*(1+KTDB_발생량도착량_증가율!$C$8)</f>
        <v>759.77327756632508</v>
      </c>
      <c r="D30" s="406">
        <f>AB28*(1+KTDB_발생량도착량_증가율!$C$7)</f>
        <v>759.77327756632508</v>
      </c>
      <c r="E30" s="406">
        <f>AC28*(1+KTDB_발생량도착량_증가율!$C$8)</f>
        <v>148.59030766882501</v>
      </c>
      <c r="F30" s="406">
        <f>AD28*(1+KTDB_발생량도착량_증가율!$C$7)</f>
        <v>148.59030766882501</v>
      </c>
      <c r="G30" s="407">
        <f>AE28*(1+KTDB_발생량도착량_증가율!$C$8)</f>
        <v>1022.2874708582251</v>
      </c>
      <c r="H30" s="407">
        <f>AF28*(1+KTDB_발생량도착량_증가율!$C$7)</f>
        <v>1022.2874708582251</v>
      </c>
      <c r="I30" s="299"/>
      <c r="J30" s="299"/>
      <c r="K30" s="71">
        <f t="shared" ref="K30:K40" si="9">C30+E30+G30</f>
        <v>1930.6510560933752</v>
      </c>
      <c r="L30" s="71">
        <f t="shared" si="8"/>
        <v>1930.6510560933752</v>
      </c>
      <c r="M30" s="71">
        <f t="shared" ref="M30:M40" si="10">K30+L30</f>
        <v>3861.3021121867505</v>
      </c>
      <c r="Y30" t="s">
        <v>197</v>
      </c>
      <c r="Z30" t="s">
        <v>201</v>
      </c>
      <c r="AA30" s="314">
        <f t="shared" si="2"/>
        <v>614.39599999999996</v>
      </c>
      <c r="AB30" s="314">
        <f t="shared" si="2"/>
        <v>614.39599999999996</v>
      </c>
      <c r="AC30" s="314">
        <f t="shared" si="3"/>
        <v>120.16900000000001</v>
      </c>
      <c r="AD30" s="314">
        <f t="shared" si="3"/>
        <v>120.16900000000001</v>
      </c>
      <c r="AE30" s="314">
        <f t="shared" si="4"/>
        <v>826.74199999999996</v>
      </c>
      <c r="AF30" s="314">
        <f t="shared" si="4"/>
        <v>826.74199999999996</v>
      </c>
      <c r="AG30" s="69"/>
      <c r="AH30" s="69"/>
      <c r="AI30" s="68"/>
      <c r="AJ30" s="68"/>
      <c r="AK30" s="68"/>
      <c r="AN30" t="s">
        <v>197</v>
      </c>
      <c r="AO30" t="s">
        <v>201</v>
      </c>
      <c r="AP30" s="314">
        <f t="shared" si="5"/>
        <v>614.39599999999996</v>
      </c>
      <c r="AQ30" s="314">
        <f t="shared" si="5"/>
        <v>614.39599999999996</v>
      </c>
      <c r="AR30" s="314">
        <f t="shared" si="6"/>
        <v>120.16900000000001</v>
      </c>
      <c r="AS30" s="314">
        <f t="shared" si="6"/>
        <v>120.16900000000001</v>
      </c>
      <c r="AT30" s="314">
        <f t="shared" si="7"/>
        <v>826.74199999999996</v>
      </c>
      <c r="AU30" s="314">
        <f t="shared" si="7"/>
        <v>826.74199999999996</v>
      </c>
      <c r="AV30" s="69"/>
      <c r="AW30" s="69"/>
      <c r="AX30" s="68"/>
      <c r="AY30" s="68"/>
      <c r="AZ30" s="68"/>
      <c r="BG30" s="547"/>
      <c r="BH30" s="552" t="s">
        <v>13</v>
      </c>
      <c r="BI30" s="46" t="s">
        <v>9</v>
      </c>
      <c r="BJ30" s="46">
        <v>26.3</v>
      </c>
      <c r="BK30" s="46">
        <v>1.9</v>
      </c>
      <c r="BL30" s="46">
        <v>55.2</v>
      </c>
      <c r="BM30" s="46">
        <v>0</v>
      </c>
      <c r="BN30" s="47">
        <v>16.600000000000001</v>
      </c>
      <c r="BP30" s="547"/>
      <c r="BQ30" s="552" t="s">
        <v>13</v>
      </c>
      <c r="BR30" s="46" t="s">
        <v>9</v>
      </c>
      <c r="BS30" s="46">
        <v>26.3</v>
      </c>
      <c r="BT30" s="46">
        <v>1.9</v>
      </c>
      <c r="BU30" s="46">
        <v>55.3</v>
      </c>
      <c r="BV30" s="46">
        <v>0</v>
      </c>
      <c r="BW30" s="47">
        <v>16.5</v>
      </c>
    </row>
    <row r="31" spans="1:75" ht="17.149999999999999" customHeight="1">
      <c r="A31" t="s">
        <v>197</v>
      </c>
      <c r="B31" t="s">
        <v>200</v>
      </c>
      <c r="C31" s="406">
        <f>AA29*(1+KTDB_발생량도착량_증가율!$C$8)</f>
        <v>622.63270529806505</v>
      </c>
      <c r="D31" s="406">
        <f>AB29*(1+KTDB_발생량도착량_증가율!$C$7)</f>
        <v>622.63270529806505</v>
      </c>
      <c r="E31" s="406">
        <f>AC29*(1+KTDB_발생량도착량_증가율!$C$8)</f>
        <v>121.76645323342501</v>
      </c>
      <c r="F31" s="406">
        <f>AD29*(1+KTDB_발생량도착량_증가율!$C$7)</f>
        <v>121.76645323342501</v>
      </c>
      <c r="G31" s="407">
        <f>AE29*(1+KTDB_발생량도착량_증가율!$C$8)</f>
        <v>837.69884790916512</v>
      </c>
      <c r="H31" s="407">
        <f>AF29*(1+KTDB_발생량도착량_증가율!$C$7)</f>
        <v>837.69884790916512</v>
      </c>
      <c r="I31" s="299"/>
      <c r="J31" s="299"/>
      <c r="K31" s="71">
        <f t="shared" si="9"/>
        <v>1582.0980064406551</v>
      </c>
      <c r="L31" s="71">
        <f t="shared" si="8"/>
        <v>1582.0980064406551</v>
      </c>
      <c r="M31" s="71">
        <f t="shared" si="10"/>
        <v>3164.1960128813103</v>
      </c>
      <c r="Y31" t="s">
        <v>135</v>
      </c>
      <c r="Z31" t="s">
        <v>12</v>
      </c>
      <c r="AA31" s="314">
        <f t="shared" si="2"/>
        <v>76.184000000000012</v>
      </c>
      <c r="AB31" s="314">
        <f t="shared" si="2"/>
        <v>76.184000000000012</v>
      </c>
      <c r="AC31" s="314">
        <f t="shared" si="3"/>
        <v>14.876000000000001</v>
      </c>
      <c r="AD31" s="314">
        <f t="shared" si="3"/>
        <v>14.876000000000001</v>
      </c>
      <c r="AE31" s="314">
        <f t="shared" si="4"/>
        <v>102.52800000000001</v>
      </c>
      <c r="AF31" s="314">
        <f t="shared" si="4"/>
        <v>102.52800000000001</v>
      </c>
      <c r="AG31" s="69"/>
      <c r="AH31" s="69"/>
      <c r="AI31" s="69"/>
      <c r="AJ31" s="69"/>
      <c r="AK31" s="69"/>
      <c r="AN31" t="s">
        <v>135</v>
      </c>
      <c r="AO31" t="s">
        <v>12</v>
      </c>
      <c r="AP31" s="314">
        <f t="shared" si="5"/>
        <v>76.184000000000012</v>
      </c>
      <c r="AQ31" s="314">
        <f t="shared" si="5"/>
        <v>76.184000000000012</v>
      </c>
      <c r="AR31" s="314">
        <f t="shared" si="6"/>
        <v>14.876000000000001</v>
      </c>
      <c r="AS31" s="314">
        <f t="shared" si="6"/>
        <v>14.876000000000001</v>
      </c>
      <c r="AT31" s="314">
        <f t="shared" si="7"/>
        <v>102.52800000000001</v>
      </c>
      <c r="AU31" s="314">
        <f t="shared" si="7"/>
        <v>102.52800000000001</v>
      </c>
      <c r="AV31" s="69"/>
      <c r="AW31" s="69"/>
      <c r="AX31" s="69"/>
      <c r="AY31" s="69"/>
      <c r="AZ31" s="69"/>
      <c r="BG31" s="547"/>
      <c r="BH31" s="551"/>
      <c r="BI31" s="46" t="s">
        <v>10</v>
      </c>
      <c r="BJ31" s="46">
        <v>28</v>
      </c>
      <c r="BK31" s="46">
        <v>3.9</v>
      </c>
      <c r="BL31" s="46">
        <v>19.5</v>
      </c>
      <c r="BM31" s="46">
        <v>0</v>
      </c>
      <c r="BN31" s="47">
        <v>48.6</v>
      </c>
      <c r="BP31" s="547"/>
      <c r="BQ31" s="551"/>
      <c r="BR31" s="46" t="s">
        <v>10</v>
      </c>
      <c r="BS31" s="46">
        <v>28.1</v>
      </c>
      <c r="BT31" s="46">
        <v>3.9</v>
      </c>
      <c r="BU31" s="46">
        <v>19.600000000000001</v>
      </c>
      <c r="BV31" s="46">
        <v>0</v>
      </c>
      <c r="BW31" s="47">
        <v>48.4</v>
      </c>
    </row>
    <row r="32" spans="1:75">
      <c r="A32" t="s">
        <v>197</v>
      </c>
      <c r="B32" t="s">
        <v>201</v>
      </c>
      <c r="C32" s="408">
        <f>AA30*(1+KTDB_발생량도착량_증가율!$C$8)</f>
        <v>634.84086555054</v>
      </c>
      <c r="D32" s="408">
        <f>AB30*(1+KTDB_발생량도착량_증가율!$C$7)</f>
        <v>634.84086555054</v>
      </c>
      <c r="E32" s="408">
        <f>AC30*(1+KTDB_발생량도착량_증가율!$C$8)</f>
        <v>124.16778750568503</v>
      </c>
      <c r="F32" s="408">
        <f>AD30*(1+KTDB_발생량도착량_증가율!$C$7)</f>
        <v>124.16778750568503</v>
      </c>
      <c r="G32" s="409">
        <f>AE30*(1+KTDB_발생량도착량_증가율!$C$8)</f>
        <v>854.25296855283</v>
      </c>
      <c r="H32" s="409">
        <f>AF30*(1+KTDB_발생량도착량_증가율!$C$7)</f>
        <v>854.25296855283</v>
      </c>
      <c r="I32" s="69"/>
      <c r="J32" s="69"/>
      <c r="K32" s="68">
        <f t="shared" si="9"/>
        <v>1613.2616216090551</v>
      </c>
      <c r="L32" s="68">
        <f t="shared" si="8"/>
        <v>1613.2616216090551</v>
      </c>
      <c r="M32" s="68">
        <f t="shared" si="10"/>
        <v>3226.5232432181101</v>
      </c>
      <c r="Y32" t="s">
        <v>136</v>
      </c>
      <c r="Z32" t="s">
        <v>13</v>
      </c>
      <c r="AA32" s="314">
        <f>AA14*$BJ$30*$BF$21</f>
        <v>90.734999999999999</v>
      </c>
      <c r="AB32" s="314">
        <f>AB14*$BJ$30*$BF$21</f>
        <v>90.734999999999999</v>
      </c>
      <c r="AC32" s="314">
        <f>AA14*$BK$30*$BF$21</f>
        <v>6.5549999999999997</v>
      </c>
      <c r="AD32" s="314">
        <f>AB14*$BK$30*$BF$21</f>
        <v>6.5549999999999997</v>
      </c>
      <c r="AE32" s="314">
        <f>AA14*$BL$30*$BF$21</f>
        <v>190.44</v>
      </c>
      <c r="AF32" s="314">
        <f>AB14*$BL$30*$BF$21</f>
        <v>190.44</v>
      </c>
      <c r="AG32" s="68"/>
      <c r="AH32" s="68"/>
      <c r="AI32" s="68"/>
      <c r="AJ32" s="68"/>
      <c r="AK32" s="68"/>
      <c r="AN32" t="s">
        <v>136</v>
      </c>
      <c r="AO32" t="s">
        <v>13</v>
      </c>
      <c r="AP32" s="314">
        <f>AP14*$BJ$30*$BF$21</f>
        <v>90.734999999999999</v>
      </c>
      <c r="AQ32" s="314">
        <f>AQ14*$BJ$30*$BF$21</f>
        <v>90.734999999999999</v>
      </c>
      <c r="AR32" s="314">
        <f>AP14*$BK$30*$BF$21</f>
        <v>6.5549999999999997</v>
      </c>
      <c r="AS32" s="314">
        <f>AQ14*$BK$30*$BF$21</f>
        <v>6.5549999999999997</v>
      </c>
      <c r="AT32" s="314">
        <f>AP14*$BL$30*$BF$21</f>
        <v>190.44</v>
      </c>
      <c r="AU32" s="314">
        <f>AQ14*$BL$30*$BF$21</f>
        <v>190.44</v>
      </c>
      <c r="AV32" s="68"/>
      <c r="AW32" s="68"/>
      <c r="AX32" s="68"/>
      <c r="AY32" s="68"/>
      <c r="AZ32" s="68"/>
      <c r="BG32" s="547"/>
      <c r="BH32" s="552" t="s">
        <v>167</v>
      </c>
      <c r="BI32" s="46" t="s">
        <v>9</v>
      </c>
      <c r="BJ32" s="46">
        <v>31.6</v>
      </c>
      <c r="BK32" s="46">
        <v>6.3</v>
      </c>
      <c r="BL32" s="46">
        <v>52.6</v>
      </c>
      <c r="BM32" s="46">
        <v>0</v>
      </c>
      <c r="BN32" s="47">
        <v>9.5</v>
      </c>
      <c r="BP32" s="547"/>
      <c r="BQ32" s="552" t="s">
        <v>167</v>
      </c>
      <c r="BR32" s="46" t="s">
        <v>9</v>
      </c>
      <c r="BS32" s="46">
        <v>31.6</v>
      </c>
      <c r="BT32" s="46">
        <v>6.3</v>
      </c>
      <c r="BU32" s="46">
        <v>52.7</v>
      </c>
      <c r="BV32" s="46">
        <v>0</v>
      </c>
      <c r="BW32" s="47">
        <v>9.4</v>
      </c>
    </row>
    <row r="33" spans="1:75">
      <c r="A33" t="s">
        <v>135</v>
      </c>
      <c r="B33" t="s">
        <v>12</v>
      </c>
      <c r="C33" s="408">
        <f>AA31*(1+KTDB_발생량도착량_증가율!$C$8)</f>
        <v>78.71912659116002</v>
      </c>
      <c r="D33" s="408">
        <f>AB31*(1+KTDB_발생량도착량_증가율!$C$7)</f>
        <v>78.71912659116002</v>
      </c>
      <c r="E33" s="408">
        <f>AC31*(1+KTDB_발생량도착량_증가율!$C$8)</f>
        <v>15.371019205740003</v>
      </c>
      <c r="F33" s="408">
        <f>AD31*(1+KTDB_발생량도착량_증가율!$C$7)</f>
        <v>15.371019205740003</v>
      </c>
      <c r="G33" s="408">
        <f>AE31*(1+KTDB_발생량도착량_증가율!$C$8)</f>
        <v>105.93975915072002</v>
      </c>
      <c r="H33" s="408">
        <f>AF31*(1+KTDB_발생량도착량_증가율!$C$7)</f>
        <v>105.93975915072002</v>
      </c>
      <c r="I33" s="69"/>
      <c r="J33" s="69"/>
      <c r="K33" s="69">
        <f t="shared" si="9"/>
        <v>200.02990494762003</v>
      </c>
      <c r="L33" s="69">
        <f t="shared" si="8"/>
        <v>200.02990494762003</v>
      </c>
      <c r="M33" s="69">
        <f t="shared" si="10"/>
        <v>400.05980989524005</v>
      </c>
      <c r="Y33" t="s">
        <v>206</v>
      </c>
      <c r="Z33" t="s">
        <v>167</v>
      </c>
      <c r="AA33" s="314">
        <f>AA15*$BJ$32*$BF$21</f>
        <v>416.48800000000006</v>
      </c>
      <c r="AB33" s="314">
        <f>AB15*$BJ$32*$BF$21</f>
        <v>416.48800000000006</v>
      </c>
      <c r="AC33" s="314">
        <f>AA15*$BK$32*$BF$21</f>
        <v>83.033999999999992</v>
      </c>
      <c r="AD33" s="314">
        <f>AB15*$BK$32*$BF$21</f>
        <v>83.033999999999992</v>
      </c>
      <c r="AE33" s="314">
        <f>AA15*$BL$32*$BF$21</f>
        <v>693.26800000000003</v>
      </c>
      <c r="AF33" s="314">
        <f>AB15*$BL$32*$BF$21</f>
        <v>693.26800000000003</v>
      </c>
      <c r="AG33" s="68"/>
      <c r="AH33" s="68"/>
      <c r="AI33" s="68"/>
      <c r="AJ33" s="68"/>
      <c r="AK33" s="68"/>
      <c r="AN33" t="s">
        <v>206</v>
      </c>
      <c r="AO33" t="s">
        <v>167</v>
      </c>
      <c r="AP33" s="314">
        <f>AP15*$BJ$32*$BF$21</f>
        <v>416.48800000000006</v>
      </c>
      <c r="AQ33" s="314">
        <f>AQ15*$BJ$32*$BF$21</f>
        <v>416.48800000000006</v>
      </c>
      <c r="AR33" s="314">
        <f>AP15*$BK$32*$BF$21</f>
        <v>83.033999999999992</v>
      </c>
      <c r="AS33" s="314">
        <f>AQ15*$BK$32*$BF$21</f>
        <v>83.033999999999992</v>
      </c>
      <c r="AT33" s="314">
        <f>AP15*$BL$32*$BF$21</f>
        <v>693.26800000000003</v>
      </c>
      <c r="AU33" s="314">
        <f>AQ15*$BL$32*$BF$21</f>
        <v>693.26800000000003</v>
      </c>
      <c r="AV33" s="68"/>
      <c r="AW33" s="68"/>
      <c r="AX33" s="68"/>
      <c r="AY33" s="68"/>
      <c r="AZ33" s="68"/>
      <c r="BG33" s="547"/>
      <c r="BH33" s="551"/>
      <c r="BI33" s="46" t="s">
        <v>10</v>
      </c>
      <c r="BJ33" s="46">
        <v>35</v>
      </c>
      <c r="BK33" s="46">
        <v>6.8</v>
      </c>
      <c r="BL33" s="46">
        <v>40.9</v>
      </c>
      <c r="BM33" s="46">
        <v>0</v>
      </c>
      <c r="BN33" s="47">
        <v>17.3</v>
      </c>
      <c r="BP33" s="547"/>
      <c r="BQ33" s="551"/>
      <c r="BR33" s="46" t="s">
        <v>10</v>
      </c>
      <c r="BS33" s="46">
        <v>35</v>
      </c>
      <c r="BT33" s="46">
        <v>6.8</v>
      </c>
      <c r="BU33" s="46">
        <v>40.9</v>
      </c>
      <c r="BV33" s="46">
        <v>0</v>
      </c>
      <c r="BW33" s="47">
        <v>17.3</v>
      </c>
    </row>
    <row r="34" spans="1:75">
      <c r="A34" t="s">
        <v>612</v>
      </c>
      <c r="B34" t="s">
        <v>13</v>
      </c>
      <c r="C34" s="409">
        <f>AA32*(1+KTDB_발생량도착량_증가율!$C$8)</f>
        <v>93.754330978275007</v>
      </c>
      <c r="D34" s="409">
        <f>AB32*(1+KTDB_발생량도착량_증가율!$C$7)</f>
        <v>93.754330978275007</v>
      </c>
      <c r="E34" s="408">
        <f>AC32*(1+KTDB_발생량도착량_증가율!$C$8)</f>
        <v>6.7731265725750003</v>
      </c>
      <c r="F34" s="408">
        <f>AD32*(1+KTDB_발생량도착량_증가율!$C$7)</f>
        <v>6.7731265725750003</v>
      </c>
      <c r="G34" s="408">
        <f>AE32*(1+KTDB_발생량도착량_증가율!$C$8)</f>
        <v>196.7771509506</v>
      </c>
      <c r="H34" s="408">
        <f>AF32*(1+KTDB_발생량도착량_증가율!$C$7)</f>
        <v>196.7771509506</v>
      </c>
      <c r="I34" s="68"/>
      <c r="J34" s="68"/>
      <c r="K34" s="68">
        <f t="shared" si="9"/>
        <v>297.30460850144999</v>
      </c>
      <c r="L34" s="68">
        <f t="shared" si="8"/>
        <v>297.30460850144999</v>
      </c>
      <c r="M34" s="68">
        <f t="shared" si="10"/>
        <v>594.60921700289998</v>
      </c>
      <c r="Y34" t="s">
        <v>207</v>
      </c>
      <c r="Z34" t="s">
        <v>168</v>
      </c>
      <c r="AA34" s="314">
        <f>AA16*$BJ$34*$BF$21</f>
        <v>1631.8500000000001</v>
      </c>
      <c r="AB34" s="314">
        <f>AB16*$BJ$34*$BF$21</f>
        <v>1631.8500000000001</v>
      </c>
      <c r="AC34" s="314">
        <f>AA16*$BK$34*$BF$21</f>
        <v>351.09500000000003</v>
      </c>
      <c r="AD34" s="314">
        <f>AB16*$BK$34*$BF$21</f>
        <v>351.09500000000003</v>
      </c>
      <c r="AE34" s="314">
        <f>AA16*$BL$34*$BF$21</f>
        <v>2546.6750000000002</v>
      </c>
      <c r="AF34" s="314">
        <f>AB16*$BL$34*$BF$21</f>
        <v>2546.6750000000002</v>
      </c>
      <c r="AG34" s="68"/>
      <c r="AH34" s="68"/>
      <c r="AI34" s="68"/>
      <c r="AJ34" s="68"/>
      <c r="AK34" s="68"/>
      <c r="AN34" t="s">
        <v>207</v>
      </c>
      <c r="AO34" t="s">
        <v>168</v>
      </c>
      <c r="AP34" s="314">
        <f>AP16*$BJ$34*$BF$21</f>
        <v>1631.8500000000001</v>
      </c>
      <c r="AQ34" s="314">
        <f>AQ16*$BJ$34*$BF$21</f>
        <v>1631.8500000000001</v>
      </c>
      <c r="AR34" s="314">
        <f>AP16*$BK$34*$BF$21</f>
        <v>351.09500000000003</v>
      </c>
      <c r="AS34" s="314">
        <f>AQ16*$BK$34*$BF$21</f>
        <v>351.09500000000003</v>
      </c>
      <c r="AT34" s="314">
        <f>AP16*$BL$34*$BF$21</f>
        <v>2546.6750000000002</v>
      </c>
      <c r="AU34" s="314">
        <f>AQ16*$BL$34*$BF$21</f>
        <v>2546.6750000000002</v>
      </c>
      <c r="AV34" s="68"/>
      <c r="AW34" s="68"/>
      <c r="AX34" s="68"/>
      <c r="AY34" s="68"/>
      <c r="AZ34" s="68"/>
      <c r="BG34" s="547"/>
      <c r="BH34" s="552" t="s">
        <v>168</v>
      </c>
      <c r="BI34" s="46" t="s">
        <v>9</v>
      </c>
      <c r="BJ34" s="46">
        <v>33</v>
      </c>
      <c r="BK34" s="46">
        <v>7.1</v>
      </c>
      <c r="BL34" s="46">
        <v>51.5</v>
      </c>
      <c r="BM34" s="46">
        <v>0</v>
      </c>
      <c r="BN34" s="47">
        <v>8.4</v>
      </c>
      <c r="BP34" s="547"/>
      <c r="BQ34" s="552" t="s">
        <v>168</v>
      </c>
      <c r="BR34" s="46" t="s">
        <v>9</v>
      </c>
      <c r="BS34" s="46">
        <v>33</v>
      </c>
      <c r="BT34" s="46">
        <v>7.1</v>
      </c>
      <c r="BU34" s="46">
        <v>51.6</v>
      </c>
      <c r="BV34" s="46">
        <v>0</v>
      </c>
      <c r="BW34" s="47">
        <v>8.3000000000000007</v>
      </c>
    </row>
    <row r="35" spans="1:75">
      <c r="A35" t="s">
        <v>613</v>
      </c>
      <c r="B35" t="s">
        <v>167</v>
      </c>
      <c r="C35" s="409">
        <f>AA33*(1+KTDB_발생량도착량_증가율!$C$8)</f>
        <v>430.34720670612012</v>
      </c>
      <c r="D35" s="409">
        <f>AB33*(1+KTDB_발생량도착량_증가율!$C$7)</f>
        <v>430.34720670612012</v>
      </c>
      <c r="E35" s="408">
        <f>AC33*(1+KTDB_발생량도착량_증가율!$C$8)</f>
        <v>85.797069691410002</v>
      </c>
      <c r="F35" s="408">
        <f>AD33*(1+KTDB_발생량도착량_증가율!$C$7)</f>
        <v>85.797069691410002</v>
      </c>
      <c r="G35" s="409">
        <f>AE33*(1+KTDB_발생량도착량_증가율!$C$8)</f>
        <v>716.33743901082005</v>
      </c>
      <c r="H35" s="409">
        <f>AF33*(1+KTDB_발생량도착량_증가율!$C$7)</f>
        <v>716.33743901082005</v>
      </c>
      <c r="I35" s="68"/>
      <c r="J35" s="68"/>
      <c r="K35" s="68">
        <f t="shared" si="9"/>
        <v>1232.4817154083503</v>
      </c>
      <c r="L35" s="68">
        <f t="shared" si="8"/>
        <v>1232.4817154083503</v>
      </c>
      <c r="M35" s="68">
        <f t="shared" si="10"/>
        <v>2464.9634308167006</v>
      </c>
      <c r="Y35" t="s">
        <v>208</v>
      </c>
      <c r="Z35" t="s">
        <v>47</v>
      </c>
      <c r="AA35" s="314">
        <f>AA17*$BJ$36*$BF$21</f>
        <v>312.06399999999996</v>
      </c>
      <c r="AB35" s="314">
        <f>AB17*$BJ$36*$BF$21</f>
        <v>312.06399999999996</v>
      </c>
      <c r="AC35" s="314">
        <f>AA17*$BK$36*$BF$21</f>
        <v>82.255999999999986</v>
      </c>
      <c r="AD35" s="314">
        <f>AB17*$BK$36*$BF$21</f>
        <v>82.255999999999986</v>
      </c>
      <c r="AE35" s="314">
        <f>AA17*$BL$36*$BF$21</f>
        <v>294.25600000000003</v>
      </c>
      <c r="AF35" s="314">
        <f>AB17*$BL$36*$BF$21</f>
        <v>294.25600000000003</v>
      </c>
      <c r="AG35" s="69"/>
      <c r="AH35" s="69"/>
      <c r="AI35" s="68"/>
      <c r="AJ35" s="68"/>
      <c r="AK35" s="68"/>
      <c r="AN35" t="s">
        <v>208</v>
      </c>
      <c r="AO35" t="s">
        <v>47</v>
      </c>
      <c r="AP35" s="314">
        <f>AP17*$BJ$36*$BF$21</f>
        <v>312.06399999999996</v>
      </c>
      <c r="AQ35" s="314">
        <f>AQ17*$BJ$36*$BF$21</f>
        <v>312.06399999999996</v>
      </c>
      <c r="AR35" s="314">
        <f>AP17*$BK$36*$BF$21</f>
        <v>82.255999999999986</v>
      </c>
      <c r="AS35" s="314">
        <f>AQ17*$BK$36*$BF$21</f>
        <v>82.255999999999986</v>
      </c>
      <c r="AT35" s="314">
        <f>AP17*$BL$36*$BF$21</f>
        <v>294.25600000000003</v>
      </c>
      <c r="AU35" s="314">
        <f>AQ17*$BL$36*$BF$21</f>
        <v>294.25600000000003</v>
      </c>
      <c r="AV35" s="69"/>
      <c r="AW35" s="69"/>
      <c r="AX35" s="68"/>
      <c r="AY35" s="68"/>
      <c r="AZ35" s="68"/>
      <c r="BG35" s="547"/>
      <c r="BH35" s="551"/>
      <c r="BI35" s="46" t="s">
        <v>10</v>
      </c>
      <c r="BJ35" s="46">
        <v>31.4</v>
      </c>
      <c r="BK35" s="46">
        <v>7.3</v>
      </c>
      <c r="BL35" s="46">
        <v>54.1</v>
      </c>
      <c r="BM35" s="46">
        <v>0</v>
      </c>
      <c r="BN35" s="47">
        <v>7.2</v>
      </c>
      <c r="BP35" s="547"/>
      <c r="BQ35" s="551"/>
      <c r="BR35" s="46" t="s">
        <v>10</v>
      </c>
      <c r="BS35" s="46">
        <v>31.4</v>
      </c>
      <c r="BT35" s="46">
        <v>7.3</v>
      </c>
      <c r="BU35" s="46">
        <v>54.2</v>
      </c>
      <c r="BV35" s="46">
        <v>0</v>
      </c>
      <c r="BW35" s="47">
        <v>7.1</v>
      </c>
    </row>
    <row r="36" spans="1:75">
      <c r="A36" t="s">
        <v>614</v>
      </c>
      <c r="B36" t="s">
        <v>168</v>
      </c>
      <c r="C36" s="409">
        <f>AA34*(1+KTDB_발생량도착량_증가율!$C$8)</f>
        <v>1686.1520362252502</v>
      </c>
      <c r="D36" s="409">
        <f>AB34*(1+KTDB_발생량도착량_증가율!$C$7)</f>
        <v>1686.1520362252502</v>
      </c>
      <c r="E36" s="408">
        <f>AC34*(1+KTDB_발생량도착량_증가율!$C$8)</f>
        <v>362.77816536967504</v>
      </c>
      <c r="F36" s="408">
        <f>AD34*(1+KTDB_발생량도착량_증가율!$C$7)</f>
        <v>362.77816536967504</v>
      </c>
      <c r="G36" s="409">
        <f>AE34*(1+KTDB_발생량도착량_증가율!$C$8)</f>
        <v>2631.4190868363753</v>
      </c>
      <c r="H36" s="409">
        <f>AF34*(1+KTDB_발생량도착량_증가율!$C$7)</f>
        <v>2631.4190868363753</v>
      </c>
      <c r="I36" s="68"/>
      <c r="J36" s="68"/>
      <c r="K36" s="68">
        <f t="shared" si="9"/>
        <v>4680.3492884313</v>
      </c>
      <c r="L36" s="68">
        <f t="shared" si="8"/>
        <v>4680.3492884313</v>
      </c>
      <c r="M36" s="68">
        <f t="shared" si="10"/>
        <v>9360.6985768626</v>
      </c>
      <c r="Y36" t="s">
        <v>209</v>
      </c>
      <c r="Z36" t="s">
        <v>169</v>
      </c>
      <c r="AA36" s="314">
        <f>AA18*$BJ$38*$BF$21</f>
        <v>532.78</v>
      </c>
      <c r="AB36" s="314">
        <f>AB18*$BJ$38*$BF$21</f>
        <v>532.78</v>
      </c>
      <c r="AC36" s="314">
        <f>AA18*$BK$38*$BF$21</f>
        <v>111.25699999999999</v>
      </c>
      <c r="AD36" s="314">
        <f>AB18*$BK$38*$BF$21</f>
        <v>111.25699999999999</v>
      </c>
      <c r="AE36" s="314">
        <f>AA18*$BL$38*$BF$21</f>
        <v>460.69799999999998</v>
      </c>
      <c r="AF36" s="314">
        <f>AB18*$BL$38*$BF$21</f>
        <v>460.69799999999998</v>
      </c>
      <c r="AG36" s="68"/>
      <c r="AH36" s="68"/>
      <c r="AI36" s="68"/>
      <c r="AJ36" s="68"/>
      <c r="AK36" s="68"/>
      <c r="AN36" t="s">
        <v>209</v>
      </c>
      <c r="AO36" t="s">
        <v>169</v>
      </c>
      <c r="AP36" s="314">
        <f>AP18*$BJ$38*$BF$21</f>
        <v>532.78</v>
      </c>
      <c r="AQ36" s="314">
        <f>AQ18*$BJ$38*$BF$21</f>
        <v>532.78</v>
      </c>
      <c r="AR36" s="314">
        <f>AP18*$BK$38*$BF$21</f>
        <v>111.25699999999999</v>
      </c>
      <c r="AS36" s="314">
        <f>AQ18*$BK$38*$BF$21</f>
        <v>111.25699999999999</v>
      </c>
      <c r="AT36" s="314">
        <f>AP18*$BL$38*$BF$21</f>
        <v>460.69799999999998</v>
      </c>
      <c r="AU36" s="314">
        <f>AQ18*$BL$38*$BF$21</f>
        <v>460.69799999999998</v>
      </c>
      <c r="AV36" s="68"/>
      <c r="AW36" s="68"/>
      <c r="AX36" s="68"/>
      <c r="AY36" s="68"/>
      <c r="AZ36" s="68"/>
      <c r="BG36" s="547"/>
      <c r="BH36" s="552" t="s">
        <v>47</v>
      </c>
      <c r="BI36" s="46" t="s">
        <v>9</v>
      </c>
      <c r="BJ36" s="46">
        <v>36.799999999999997</v>
      </c>
      <c r="BK36" s="46">
        <v>9.6999999999999993</v>
      </c>
      <c r="BL36" s="46">
        <v>34.700000000000003</v>
      </c>
      <c r="BM36" s="46">
        <v>0</v>
      </c>
      <c r="BN36" s="47">
        <v>18.8</v>
      </c>
      <c r="BP36" s="547"/>
      <c r="BQ36" s="552" t="s">
        <v>47</v>
      </c>
      <c r="BR36" s="46" t="s">
        <v>9</v>
      </c>
      <c r="BS36" s="46">
        <v>36.799999999999997</v>
      </c>
      <c r="BT36" s="46">
        <v>9.6999999999999993</v>
      </c>
      <c r="BU36" s="46">
        <v>34.700000000000003</v>
      </c>
      <c r="BV36" s="46">
        <v>0</v>
      </c>
      <c r="BW36" s="47">
        <v>18.8</v>
      </c>
    </row>
    <row r="37" spans="1:75" ht="17.149999999999999" customHeight="1">
      <c r="A37" t="s">
        <v>615</v>
      </c>
      <c r="B37" t="s">
        <v>47</v>
      </c>
      <c r="C37" s="409">
        <f>AA35*(1+KTDB_발생량도착량_증가율!$C$8)</f>
        <v>322.44835556736001</v>
      </c>
      <c r="D37" s="409">
        <f>AB35*(1+KTDB_발생량도착량_증가율!$C$7)</f>
        <v>322.44835556736001</v>
      </c>
      <c r="E37" s="408">
        <f>AC35*(1+KTDB_발생량도착량_증가율!$C$8)</f>
        <v>84.993180679439988</v>
      </c>
      <c r="F37" s="408">
        <f>AD35*(1+KTDB_발생량도착량_증가율!$C$7)</f>
        <v>84.993180679439988</v>
      </c>
      <c r="G37" s="409">
        <f>AE35*(1+KTDB_발생량도착량_증가율!$C$8)</f>
        <v>304.04777005944004</v>
      </c>
      <c r="H37" s="409">
        <f>AF35*(1+KTDB_발생량도착량_증가율!$C$7)</f>
        <v>304.04777005944004</v>
      </c>
      <c r="I37" s="69"/>
      <c r="J37" s="69"/>
      <c r="K37" s="68">
        <f t="shared" si="9"/>
        <v>711.48930630624</v>
      </c>
      <c r="L37" s="68">
        <f t="shared" si="8"/>
        <v>711.48930630624</v>
      </c>
      <c r="M37" s="68">
        <f t="shared" si="10"/>
        <v>1422.97861261248</v>
      </c>
      <c r="P37" s="56"/>
      <c r="Q37" s="56"/>
      <c r="R37" s="56"/>
      <c r="S37" s="56"/>
      <c r="T37" s="301"/>
      <c r="U37" s="301"/>
      <c r="V37" s="56"/>
      <c r="W37" s="56"/>
      <c r="X37" s="56"/>
      <c r="Y37" t="s">
        <v>210</v>
      </c>
      <c r="Z37" t="s">
        <v>170</v>
      </c>
      <c r="AA37" s="314">
        <f>AA19*$BJ$40*$BF$21</f>
        <v>440.64</v>
      </c>
      <c r="AB37" s="314">
        <f>AB19*$BJ$40*$BF$21</f>
        <v>440.64</v>
      </c>
      <c r="AC37" s="314">
        <f>AA19*$BK$40*$BF$21</f>
        <v>92.016000000000005</v>
      </c>
      <c r="AD37" s="314">
        <f>AB19*$BK$40*$BF$21</f>
        <v>92.016000000000005</v>
      </c>
      <c r="AE37" s="314">
        <f>AA19*$BL$40*$BF$21</f>
        <v>381.024</v>
      </c>
      <c r="AF37" s="314">
        <f>AB19*$BL$40*$BF$21</f>
        <v>381.024</v>
      </c>
      <c r="AG37" s="68"/>
      <c r="AH37" s="68"/>
      <c r="AI37" s="68"/>
      <c r="AJ37" s="68"/>
      <c r="AK37" s="68"/>
      <c r="AN37" t="s">
        <v>210</v>
      </c>
      <c r="AO37" t="s">
        <v>170</v>
      </c>
      <c r="AP37" s="314">
        <f>AP19*$BJ$40*$BF$21</f>
        <v>440.64</v>
      </c>
      <c r="AQ37" s="314">
        <f>AQ19*$BJ$40*$BF$21</f>
        <v>440.64</v>
      </c>
      <c r="AR37" s="314">
        <f>AP19*$BK$40*$BF$21</f>
        <v>92.016000000000005</v>
      </c>
      <c r="AS37" s="314">
        <f>AQ19*$BK$40*$BF$21</f>
        <v>92.016000000000005</v>
      </c>
      <c r="AT37" s="314">
        <f>AP19*$BL$40*$BF$21</f>
        <v>381.024</v>
      </c>
      <c r="AU37" s="314">
        <f>AQ19*$BL$40*$BF$21</f>
        <v>381.024</v>
      </c>
      <c r="AV37" s="68"/>
      <c r="AW37" s="68"/>
      <c r="AX37" s="68"/>
      <c r="AY37" s="68"/>
      <c r="AZ37" s="68"/>
      <c r="BG37" s="547"/>
      <c r="BH37" s="551"/>
      <c r="BI37" s="46" t="s">
        <v>10</v>
      </c>
      <c r="BJ37" s="46">
        <v>34.6</v>
      </c>
      <c r="BK37" s="46">
        <v>9.5</v>
      </c>
      <c r="BL37" s="46">
        <v>35.700000000000003</v>
      </c>
      <c r="BM37" s="46">
        <v>0</v>
      </c>
      <c r="BN37" s="47">
        <v>20.2</v>
      </c>
      <c r="BP37" s="547"/>
      <c r="BQ37" s="551"/>
      <c r="BR37" s="46" t="s">
        <v>10</v>
      </c>
      <c r="BS37" s="46">
        <v>34.6</v>
      </c>
      <c r="BT37" s="46">
        <v>9.5</v>
      </c>
      <c r="BU37" s="46">
        <v>35.799999999999997</v>
      </c>
      <c r="BV37" s="46">
        <v>0</v>
      </c>
      <c r="BW37" s="47">
        <v>20.100000000000001</v>
      </c>
    </row>
    <row r="38" spans="1:75">
      <c r="A38" t="s">
        <v>616</v>
      </c>
      <c r="B38" t="s">
        <v>169</v>
      </c>
      <c r="C38" s="409">
        <f>AA36*(1+KTDB_발생량도착량_증가율!$C$8)</f>
        <v>550.50898174470001</v>
      </c>
      <c r="D38" s="409">
        <f>AB36*(1+KTDB_발생량도착량_증가율!$C$7)</f>
        <v>550.50898174470001</v>
      </c>
      <c r="E38" s="408">
        <f>AC36*(1+KTDB_발생량도착량_증가율!$C$8)</f>
        <v>114.959228540805</v>
      </c>
      <c r="F38" s="408">
        <f>AD36*(1+KTDB_발생량도착량_증가율!$C$7)</f>
        <v>114.959228540805</v>
      </c>
      <c r="G38" s="409">
        <f>AE36*(1+KTDB_발생량도착량_증가율!$C$8)</f>
        <v>476.02835480277002</v>
      </c>
      <c r="H38" s="409">
        <f>AF36*(1+KTDB_발생량도착량_증가율!$C$7)</f>
        <v>476.02835480277002</v>
      </c>
      <c r="I38" s="68"/>
      <c r="J38" s="68"/>
      <c r="K38" s="68">
        <f t="shared" si="9"/>
        <v>1141.496565088275</v>
      </c>
      <c r="L38" s="68">
        <f t="shared" si="8"/>
        <v>1141.496565088275</v>
      </c>
      <c r="M38" s="68">
        <f t="shared" si="10"/>
        <v>2282.99313017655</v>
      </c>
      <c r="P38" s="56"/>
      <c r="Q38" s="56"/>
      <c r="R38" s="56"/>
      <c r="S38" s="56"/>
      <c r="T38" s="301"/>
      <c r="U38" s="301"/>
      <c r="V38" s="56"/>
      <c r="W38" s="56"/>
      <c r="X38" s="56"/>
      <c r="Y38" t="s">
        <v>211</v>
      </c>
      <c r="Z38" t="s">
        <v>171</v>
      </c>
      <c r="AA38" s="314">
        <f>AA20*$BJ$42*$BF$21</f>
        <v>11.572000000000001</v>
      </c>
      <c r="AB38" s="314">
        <f>AB20*$BJ$42*$BF$21</f>
        <v>11.572000000000001</v>
      </c>
      <c r="AC38" s="314">
        <f>AA20*$BK$42*$BF$21</f>
        <v>0.83599999999999997</v>
      </c>
      <c r="AD38" s="314">
        <f>AB20*$BK$42*$BF$21</f>
        <v>0.83599999999999997</v>
      </c>
      <c r="AE38" s="314">
        <f>AA20*$BL$42*$BF$21</f>
        <v>24.288000000000004</v>
      </c>
      <c r="AF38" s="314">
        <f>AB20*$BL$42*$BF$21</f>
        <v>24.288000000000004</v>
      </c>
      <c r="AG38" s="69"/>
      <c r="AH38" s="69"/>
      <c r="AI38" s="69"/>
      <c r="AJ38" s="69"/>
      <c r="AK38" s="69"/>
      <c r="AN38" t="s">
        <v>211</v>
      </c>
      <c r="AO38" t="s">
        <v>171</v>
      </c>
      <c r="AP38" s="314">
        <f>AP20*$BJ$42*$BF$21</f>
        <v>11.572000000000001</v>
      </c>
      <c r="AQ38" s="314">
        <f>AQ20*$BJ$42*$BF$21</f>
        <v>11.572000000000001</v>
      </c>
      <c r="AR38" s="314">
        <f>AP20*$BK$42*$BF$21</f>
        <v>0.83599999999999997</v>
      </c>
      <c r="AS38" s="314">
        <f>AQ20*$BK$42*$BF$21</f>
        <v>0.83599999999999997</v>
      </c>
      <c r="AT38" s="314">
        <f>AP20*$BL$42*$BF$21</f>
        <v>24.288000000000004</v>
      </c>
      <c r="AU38" s="314">
        <f>AQ20*$BL$42*$BF$21</f>
        <v>24.288000000000004</v>
      </c>
      <c r="AV38" s="69"/>
      <c r="AW38" s="69"/>
      <c r="AX38" s="69"/>
      <c r="AY38" s="69"/>
      <c r="AZ38" s="69"/>
      <c r="BG38" s="547"/>
      <c r="BH38" s="552" t="s">
        <v>169</v>
      </c>
      <c r="BI38" s="46" t="s">
        <v>9</v>
      </c>
      <c r="BJ38" s="46">
        <v>34</v>
      </c>
      <c r="BK38" s="46">
        <v>7.1</v>
      </c>
      <c r="BL38" s="46">
        <v>29.4</v>
      </c>
      <c r="BM38" s="46">
        <v>0</v>
      </c>
      <c r="BN38" s="47">
        <v>29.5</v>
      </c>
      <c r="BP38" s="547"/>
      <c r="BQ38" s="552" t="s">
        <v>169</v>
      </c>
      <c r="BR38" s="46" t="s">
        <v>9</v>
      </c>
      <c r="BS38" s="46">
        <v>34</v>
      </c>
      <c r="BT38" s="46">
        <v>7.1</v>
      </c>
      <c r="BU38" s="46">
        <v>29.5</v>
      </c>
      <c r="BV38" s="46">
        <v>0</v>
      </c>
      <c r="BW38" s="47">
        <v>29.4</v>
      </c>
    </row>
    <row r="39" spans="1:75" ht="17.149999999999999" customHeight="1">
      <c r="A39" t="s">
        <v>617</v>
      </c>
      <c r="B39" t="s">
        <v>170</v>
      </c>
      <c r="C39" s="409">
        <f>AA37*(1+KTDB_발생량도착량_증가율!$C$8)</f>
        <v>455.30289747360001</v>
      </c>
      <c r="D39" s="409">
        <f>AB37*(1+KTDB_발생량도착량_증가율!$C$7)</f>
        <v>455.30289747360001</v>
      </c>
      <c r="E39" s="409">
        <f>AC37*(1+KTDB_발생량도착량_증가율!$C$8)</f>
        <v>95.077958001840017</v>
      </c>
      <c r="F39" s="409">
        <f>AD37*(1+KTDB_발생량도착량_증가율!$C$7)</f>
        <v>95.077958001840017</v>
      </c>
      <c r="G39" s="409">
        <f>AE37*(1+KTDB_발생량도착량_증가율!$C$8)</f>
        <v>393.70309369776004</v>
      </c>
      <c r="H39" s="409">
        <f>AF37*(1+KTDB_발생량도착량_증가율!$C$7)</f>
        <v>393.70309369776004</v>
      </c>
      <c r="I39" s="68"/>
      <c r="J39" s="68"/>
      <c r="K39" s="68">
        <f t="shared" si="9"/>
        <v>944.08394917320015</v>
      </c>
      <c r="L39" s="68">
        <f t="shared" si="8"/>
        <v>944.08394917320015</v>
      </c>
      <c r="M39" s="68">
        <f t="shared" si="10"/>
        <v>1888.1678983464003</v>
      </c>
      <c r="P39" s="56"/>
      <c r="Q39" s="56"/>
      <c r="R39" s="56"/>
      <c r="S39" s="56"/>
      <c r="T39" s="301"/>
      <c r="U39" s="301"/>
      <c r="V39" s="56"/>
      <c r="W39" s="56"/>
      <c r="X39" s="56"/>
      <c r="BG39" s="547"/>
      <c r="BH39" s="551"/>
      <c r="BI39" s="46" t="s">
        <v>10</v>
      </c>
      <c r="BJ39" s="46">
        <v>28.4</v>
      </c>
      <c r="BK39" s="46">
        <v>7</v>
      </c>
      <c r="BL39" s="46">
        <v>32.200000000000003</v>
      </c>
      <c r="BM39" s="46">
        <v>0</v>
      </c>
      <c r="BN39" s="47">
        <v>32.4</v>
      </c>
      <c r="BP39" s="547"/>
      <c r="BQ39" s="551"/>
      <c r="BR39" s="46" t="s">
        <v>10</v>
      </c>
      <c r="BS39" s="46">
        <v>28.5</v>
      </c>
      <c r="BT39" s="46">
        <v>7</v>
      </c>
      <c r="BU39" s="46">
        <v>32.200000000000003</v>
      </c>
      <c r="BV39" s="46">
        <v>0</v>
      </c>
      <c r="BW39" s="47">
        <v>32.299999999999997</v>
      </c>
    </row>
    <row r="40" spans="1:75">
      <c r="A40" t="s">
        <v>618</v>
      </c>
      <c r="B40" t="s">
        <v>171</v>
      </c>
      <c r="C40" s="408">
        <f>AA38*(1+KTDB_발생량도착량_증가율!$C$8)</f>
        <v>11.957074095780001</v>
      </c>
      <c r="D40" s="408">
        <f>AB38*(1+KTDB_발생량도착량_증가율!$C$7)</f>
        <v>11.957074095780001</v>
      </c>
      <c r="E40" s="408">
        <f>AC38*(1+KTDB_발생량도착량_증가율!$C$8)</f>
        <v>0.86381904114000008</v>
      </c>
      <c r="F40" s="408">
        <f>AD38*(1+KTDB_발생량도착량_증가율!$C$7)</f>
        <v>0.86381904114000008</v>
      </c>
      <c r="G40" s="408">
        <f>AE38*(1+KTDB_발생량도착량_증가율!$C$8)</f>
        <v>25.096216353120006</v>
      </c>
      <c r="H40" s="408">
        <f>AF38*(1+KTDB_발생량도착량_증가율!$C$7)</f>
        <v>25.096216353120006</v>
      </c>
      <c r="I40" s="69"/>
      <c r="J40" s="69"/>
      <c r="K40" s="69">
        <f t="shared" si="9"/>
        <v>37.917109490040005</v>
      </c>
      <c r="L40" s="69">
        <f t="shared" si="8"/>
        <v>37.917109490040005</v>
      </c>
      <c r="M40" s="69">
        <f t="shared" si="10"/>
        <v>75.83421898008001</v>
      </c>
      <c r="P40" s="56"/>
      <c r="Q40" s="56"/>
      <c r="R40" s="56"/>
      <c r="S40" s="56"/>
      <c r="T40" s="301"/>
      <c r="U40" s="301"/>
      <c r="V40" s="56"/>
      <c r="W40" s="56"/>
      <c r="X40" s="56"/>
      <c r="BG40" s="547"/>
      <c r="BH40" s="552" t="s">
        <v>170</v>
      </c>
      <c r="BI40" s="46" t="s">
        <v>9</v>
      </c>
      <c r="BJ40" s="46">
        <v>34</v>
      </c>
      <c r="BK40" s="46">
        <v>7.1</v>
      </c>
      <c r="BL40" s="46">
        <v>29.4</v>
      </c>
      <c r="BM40" s="46">
        <v>0</v>
      </c>
      <c r="BN40" s="47">
        <v>29.5</v>
      </c>
      <c r="BP40" s="547"/>
      <c r="BQ40" s="552" t="s">
        <v>170</v>
      </c>
      <c r="BR40" s="46" t="s">
        <v>9</v>
      </c>
      <c r="BS40" s="46">
        <v>34</v>
      </c>
      <c r="BT40" s="46">
        <v>7.1</v>
      </c>
      <c r="BU40" s="46">
        <v>29.5</v>
      </c>
      <c r="BV40" s="46">
        <v>0</v>
      </c>
      <c r="BW40" s="47">
        <v>29.4</v>
      </c>
    </row>
    <row r="41" spans="1:75" ht="17.149999999999999" customHeight="1">
      <c r="A41" t="s">
        <v>26</v>
      </c>
      <c r="B41" t="s">
        <v>26</v>
      </c>
      <c r="C41" s="56">
        <f>SUM(C29:C40)</f>
        <v>6410.6583901148242</v>
      </c>
      <c r="D41" s="56">
        <f t="shared" ref="D41:M41" si="11">SUM(D29:D40)</f>
        <v>6410.6583901148242</v>
      </c>
      <c r="E41" s="56">
        <f t="shared" si="11"/>
        <v>1310.6149743005551</v>
      </c>
      <c r="F41" s="56">
        <f t="shared" si="11"/>
        <v>1310.6149743005551</v>
      </c>
      <c r="G41" s="56">
        <f t="shared" si="11"/>
        <v>8592.0783870591458</v>
      </c>
      <c r="H41" s="56">
        <f t="shared" si="11"/>
        <v>8592.0783870591458</v>
      </c>
      <c r="I41" s="56">
        <f t="shared" si="11"/>
        <v>0</v>
      </c>
      <c r="J41" s="56">
        <f t="shared" si="11"/>
        <v>0</v>
      </c>
      <c r="K41" s="56">
        <f t="shared" si="11"/>
        <v>16313.351751474525</v>
      </c>
      <c r="L41" s="56">
        <f t="shared" si="11"/>
        <v>16313.351751474525</v>
      </c>
      <c r="M41" s="56">
        <f t="shared" si="11"/>
        <v>32626.703502949051</v>
      </c>
      <c r="P41" s="56"/>
      <c r="Q41" s="56"/>
      <c r="R41" s="56"/>
      <c r="S41" s="56"/>
      <c r="T41" s="301"/>
      <c r="U41" s="301"/>
      <c r="V41" s="56"/>
      <c r="W41" s="56"/>
      <c r="X41" s="56"/>
      <c r="BG41" s="547"/>
      <c r="BH41" s="551"/>
      <c r="BI41" s="46" t="s">
        <v>10</v>
      </c>
      <c r="BJ41" s="46">
        <v>28.4</v>
      </c>
      <c r="BK41" s="46">
        <v>7</v>
      </c>
      <c r="BL41" s="46">
        <v>32.200000000000003</v>
      </c>
      <c r="BM41" s="46">
        <v>0</v>
      </c>
      <c r="BN41" s="47">
        <v>32.4</v>
      </c>
      <c r="BP41" s="547"/>
      <c r="BQ41" s="551"/>
      <c r="BR41" s="46" t="s">
        <v>10</v>
      </c>
      <c r="BS41" s="46">
        <v>28.5</v>
      </c>
      <c r="BT41" s="46">
        <v>7</v>
      </c>
      <c r="BU41" s="46">
        <v>32.200000000000003</v>
      </c>
      <c r="BV41" s="46">
        <v>0</v>
      </c>
      <c r="BW41" s="47">
        <v>32.299999999999997</v>
      </c>
    </row>
    <row r="42" spans="1:75"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P42" s="56"/>
      <c r="Q42" s="56"/>
      <c r="R42" s="56"/>
      <c r="S42" s="56"/>
      <c r="T42" s="301"/>
      <c r="U42" s="301"/>
      <c r="V42" s="56"/>
      <c r="W42" s="56"/>
      <c r="X42" s="56"/>
      <c r="BG42" s="547"/>
      <c r="BH42" s="552" t="s">
        <v>171</v>
      </c>
      <c r="BI42" s="46" t="s">
        <v>9</v>
      </c>
      <c r="BJ42" s="46">
        <v>26.3</v>
      </c>
      <c r="BK42" s="46">
        <v>1.9</v>
      </c>
      <c r="BL42" s="46">
        <v>55.2</v>
      </c>
      <c r="BM42" s="46">
        <v>0</v>
      </c>
      <c r="BN42" s="47">
        <v>16.600000000000001</v>
      </c>
      <c r="BP42" s="547"/>
      <c r="BQ42" s="552" t="s">
        <v>171</v>
      </c>
      <c r="BR42" s="46" t="s">
        <v>9</v>
      </c>
      <c r="BS42" s="46">
        <v>26.3</v>
      </c>
      <c r="BT42" s="46">
        <v>1.9</v>
      </c>
      <c r="BU42" s="46">
        <v>55.3</v>
      </c>
      <c r="BV42" s="46">
        <v>0</v>
      </c>
      <c r="BW42" s="47">
        <v>16.5</v>
      </c>
    </row>
    <row r="43" spans="1:75" ht="17.5" thickBot="1"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P43" s="56"/>
      <c r="Q43" s="56"/>
      <c r="R43" s="56"/>
      <c r="S43" s="56"/>
      <c r="T43" s="301"/>
      <c r="U43" s="301"/>
      <c r="V43" s="56"/>
      <c r="W43" s="56"/>
      <c r="X43" s="56"/>
      <c r="BG43" s="554"/>
      <c r="BH43" s="551"/>
      <c r="BI43" s="46" t="s">
        <v>10</v>
      </c>
      <c r="BJ43" s="46">
        <v>28</v>
      </c>
      <c r="BK43" s="46">
        <v>3.9</v>
      </c>
      <c r="BL43" s="46">
        <v>19.5</v>
      </c>
      <c r="BM43" s="46">
        <v>0</v>
      </c>
      <c r="BN43" s="47">
        <v>48.6</v>
      </c>
      <c r="BP43" s="548"/>
      <c r="BQ43" s="553"/>
      <c r="BR43" s="48" t="s">
        <v>10</v>
      </c>
      <c r="BS43" s="48">
        <v>28.1</v>
      </c>
      <c r="BT43" s="48">
        <v>3.9</v>
      </c>
      <c r="BU43" s="48">
        <v>19.600000000000001</v>
      </c>
      <c r="BV43" s="48">
        <v>0</v>
      </c>
      <c r="BW43" s="49">
        <v>48.4</v>
      </c>
    </row>
    <row r="44" spans="1:75" ht="17.5" thickTop="1"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P44" s="56"/>
      <c r="Q44" s="56"/>
      <c r="R44" s="56"/>
      <c r="S44" s="56"/>
      <c r="T44" s="301"/>
      <c r="U44" s="301"/>
      <c r="V44" s="56"/>
      <c r="W44" s="56"/>
      <c r="X44" s="56"/>
    </row>
    <row r="45" spans="1:75">
      <c r="C45" s="56"/>
      <c r="D45" s="56"/>
      <c r="E45" s="56"/>
      <c r="F45" s="56"/>
      <c r="G45" s="56"/>
      <c r="H45" s="56"/>
      <c r="I45" s="56"/>
      <c r="J45" s="56"/>
      <c r="K45" s="56"/>
      <c r="L45" s="56"/>
      <c r="M45" s="56"/>
      <c r="P45" s="56"/>
      <c r="Q45" s="56"/>
      <c r="R45" s="56"/>
      <c r="S45" s="56"/>
      <c r="T45" s="301"/>
      <c r="U45" s="301"/>
      <c r="V45" s="56"/>
      <c r="W45" s="56"/>
      <c r="X45" s="56"/>
    </row>
    <row r="46" spans="1:75">
      <c r="A46" s="76" t="s">
        <v>664</v>
      </c>
      <c r="C46" s="56"/>
      <c r="D46" s="56"/>
      <c r="E46" s="56"/>
      <c r="F46" s="56"/>
      <c r="G46" s="56"/>
      <c r="H46" s="56"/>
      <c r="I46" s="56"/>
      <c r="J46" s="56"/>
      <c r="K46" s="56"/>
      <c r="L46" s="56"/>
      <c r="M46" s="56"/>
      <c r="P46" s="56"/>
      <c r="Q46" s="56"/>
      <c r="R46" s="56"/>
      <c r="S46" s="56"/>
      <c r="T46" s="301"/>
      <c r="U46" s="301"/>
      <c r="V46" s="56"/>
      <c r="W46" s="56"/>
      <c r="X46" s="56"/>
    </row>
    <row r="47" spans="1:75">
      <c r="P47" s="56"/>
      <c r="Q47" s="56"/>
      <c r="R47" s="56"/>
      <c r="S47" s="56"/>
      <c r="T47" s="301"/>
      <c r="U47" s="301"/>
      <c r="V47" s="56"/>
      <c r="W47" s="56"/>
      <c r="X47" s="56"/>
    </row>
    <row r="48" spans="1:75">
      <c r="A48" s="32"/>
      <c r="C48" s="56"/>
      <c r="D48" s="56"/>
      <c r="E48" s="56"/>
      <c r="F48" s="56"/>
      <c r="G48" s="56"/>
      <c r="H48" s="56"/>
      <c r="I48" s="56"/>
      <c r="J48" s="56"/>
      <c r="K48" s="56"/>
      <c r="L48" s="56"/>
      <c r="M48" s="56"/>
      <c r="P48" s="56"/>
      <c r="Q48" s="56"/>
      <c r="R48" s="56"/>
      <c r="S48" s="56"/>
      <c r="T48" s="301"/>
      <c r="U48" s="301"/>
      <c r="V48" s="56"/>
      <c r="W48" s="56"/>
      <c r="X48" s="56"/>
    </row>
    <row r="49" spans="1:167"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P49" s="56"/>
      <c r="Q49" s="56"/>
      <c r="R49" s="56"/>
      <c r="S49" s="56"/>
      <c r="T49" s="301"/>
      <c r="U49" s="301"/>
      <c r="V49" s="56"/>
      <c r="W49" s="56"/>
      <c r="X49" s="56"/>
    </row>
    <row r="50" spans="1:167">
      <c r="C50" s="56"/>
      <c r="D50" s="56"/>
      <c r="E50" s="56"/>
      <c r="F50" s="56"/>
      <c r="G50" s="56"/>
      <c r="H50" s="56"/>
      <c r="I50" s="56"/>
      <c r="J50" s="56"/>
      <c r="K50" s="56"/>
      <c r="L50" s="56"/>
      <c r="M50" s="56"/>
      <c r="P50" s="56"/>
      <c r="Q50" s="56"/>
      <c r="R50" s="56"/>
      <c r="S50" s="56"/>
      <c r="T50" s="301"/>
      <c r="U50" s="301"/>
      <c r="V50" s="56"/>
      <c r="W50" s="56"/>
      <c r="X50" s="56"/>
    </row>
    <row r="51" spans="1:167">
      <c r="C51" s="56"/>
      <c r="D51" s="56"/>
      <c r="E51" s="56"/>
      <c r="F51" s="56"/>
      <c r="G51" s="56"/>
      <c r="H51" s="56"/>
      <c r="I51" s="56"/>
      <c r="J51" s="56"/>
      <c r="K51" s="56"/>
      <c r="L51" s="56"/>
      <c r="M51" s="56"/>
      <c r="P51" s="56"/>
      <c r="Q51" s="56"/>
      <c r="R51" s="56"/>
      <c r="S51" s="56"/>
      <c r="T51" s="301"/>
      <c r="U51" s="301"/>
      <c r="V51" s="56"/>
      <c r="W51" s="56"/>
      <c r="X51" s="56"/>
    </row>
    <row r="52" spans="1:167">
      <c r="C52" s="56"/>
      <c r="D52" s="56"/>
      <c r="E52" s="56"/>
      <c r="F52" s="56"/>
      <c r="G52" s="56"/>
      <c r="H52" s="56"/>
      <c r="I52" s="56"/>
      <c r="J52" s="56"/>
      <c r="K52" s="56"/>
      <c r="L52" s="56"/>
      <c r="M52" s="56"/>
      <c r="P52" s="56"/>
      <c r="Q52" s="56"/>
      <c r="R52" s="56"/>
      <c r="S52" s="56"/>
      <c r="T52" s="301"/>
      <c r="U52" s="301"/>
      <c r="V52" s="56"/>
      <c r="W52" s="56"/>
      <c r="X52" s="56"/>
    </row>
    <row r="53" spans="1:167"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P53" s="56"/>
      <c r="Q53" s="56"/>
      <c r="R53" s="56"/>
      <c r="S53" s="56"/>
      <c r="T53" s="301"/>
      <c r="U53" s="301"/>
      <c r="V53" s="56"/>
      <c r="W53" s="56"/>
      <c r="X53" s="56"/>
      <c r="EG53" s="32" t="s">
        <v>864</v>
      </c>
    </row>
    <row r="54" spans="1:167"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403"/>
      <c r="O54" s="32" t="s">
        <v>852</v>
      </c>
      <c r="P54" s="56"/>
      <c r="Q54" s="56"/>
      <c r="R54" s="56"/>
      <c r="S54" s="56"/>
      <c r="T54" s="301"/>
      <c r="U54" s="301"/>
      <c r="V54" s="56"/>
      <c r="W54" s="56"/>
      <c r="X54" s="56"/>
      <c r="EF54" s="279"/>
      <c r="EG54" s="279" t="s">
        <v>602</v>
      </c>
    </row>
    <row r="55" spans="1:167">
      <c r="C55" s="56"/>
      <c r="D55" s="56"/>
      <c r="E55" s="56"/>
      <c r="F55" s="56"/>
      <c r="G55" s="56"/>
      <c r="H55" s="56"/>
      <c r="I55" s="56"/>
      <c r="J55" s="56"/>
      <c r="K55" s="56"/>
      <c r="L55" s="56"/>
      <c r="M55" s="56"/>
      <c r="P55" s="56"/>
      <c r="Q55" s="56"/>
      <c r="R55" s="56"/>
      <c r="S55" s="56"/>
      <c r="T55" s="301"/>
      <c r="U55" s="301"/>
      <c r="V55" s="56"/>
      <c r="W55" s="56"/>
      <c r="X55" s="56"/>
      <c r="EF55" s="279" t="s">
        <v>603</v>
      </c>
      <c r="EG55" s="293">
        <v>1</v>
      </c>
    </row>
    <row r="56" spans="1:167"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P56" s="56"/>
      <c r="Q56" s="56"/>
      <c r="R56" s="56"/>
      <c r="S56" s="56"/>
      <c r="T56" s="301"/>
      <c r="U56" s="301"/>
      <c r="V56" s="56"/>
      <c r="W56" s="56"/>
      <c r="X56" s="56"/>
    </row>
    <row r="57" spans="1:167"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P57" s="56"/>
      <c r="Q57" s="56"/>
      <c r="R57" s="56"/>
      <c r="S57" s="56"/>
      <c r="T57" s="301"/>
      <c r="U57" s="301"/>
      <c r="V57" s="56"/>
      <c r="W57" s="56"/>
      <c r="X57" s="56"/>
    </row>
    <row r="58" spans="1:167" s="227" customFormat="1" ht="25.5">
      <c r="A58" s="285">
        <v>2025</v>
      </c>
      <c r="B58" s="282"/>
      <c r="C58" s="283"/>
      <c r="D58" s="284"/>
      <c r="E58" s="284"/>
      <c r="F58" s="284"/>
      <c r="G58" s="284"/>
      <c r="H58" s="284"/>
      <c r="I58" s="284"/>
      <c r="K58" s="282"/>
      <c r="L58" s="282"/>
      <c r="M58" s="283"/>
      <c r="N58" s="284"/>
      <c r="O58" s="284"/>
      <c r="P58" s="284"/>
      <c r="Q58" s="284"/>
      <c r="R58" s="284"/>
      <c r="S58" s="284"/>
    </row>
    <row r="59" spans="1:167" ht="23.5" thickBot="1">
      <c r="A59" s="32" t="s">
        <v>469</v>
      </c>
      <c r="C59" t="s">
        <v>464</v>
      </c>
      <c r="D59" t="s">
        <v>468</v>
      </c>
      <c r="E59" t="s">
        <v>471</v>
      </c>
      <c r="F59" t="s">
        <v>466</v>
      </c>
      <c r="G59" t="s">
        <v>467</v>
      </c>
      <c r="H59" t="s">
        <v>21</v>
      </c>
      <c r="K59" s="32" t="s">
        <v>472</v>
      </c>
      <c r="CV59" s="32" t="s">
        <v>493</v>
      </c>
      <c r="CY59" t="s">
        <v>479</v>
      </c>
      <c r="CZ59" t="s">
        <v>480</v>
      </c>
      <c r="EK59" s="353" t="s">
        <v>860</v>
      </c>
      <c r="EU59" s="353" t="s">
        <v>746</v>
      </c>
      <c r="FD59" s="353"/>
    </row>
    <row r="60" spans="1:167">
      <c r="A60" t="s">
        <v>463</v>
      </c>
      <c r="C60" t="s">
        <v>427</v>
      </c>
      <c r="D60" t="s">
        <v>428</v>
      </c>
      <c r="E60" t="s">
        <v>429</v>
      </c>
      <c r="F60" t="s">
        <v>430</v>
      </c>
      <c r="G60" t="s">
        <v>431</v>
      </c>
      <c r="H60" t="s">
        <v>457</v>
      </c>
      <c r="K60" s="159" t="s">
        <v>483</v>
      </c>
      <c r="L60" s="159"/>
      <c r="M60" s="441" t="s">
        <v>464</v>
      </c>
      <c r="N60" s="442"/>
      <c r="O60" s="442"/>
      <c r="P60" s="442"/>
      <c r="Q60" s="442"/>
      <c r="R60" s="442"/>
      <c r="S60" s="442"/>
      <c r="T60" s="442"/>
      <c r="U60" s="442"/>
      <c r="V60" s="442"/>
      <c r="W60" s="442"/>
      <c r="X60" s="442"/>
      <c r="Y60" s="442"/>
      <c r="Z60" s="443"/>
      <c r="AA60" s="441" t="s">
        <v>468</v>
      </c>
      <c r="AB60" s="442"/>
      <c r="AC60" s="442"/>
      <c r="AD60" s="442"/>
      <c r="AE60" s="442"/>
      <c r="AF60" s="442"/>
      <c r="AG60" s="442"/>
      <c r="AH60" s="442"/>
      <c r="AI60" s="442"/>
      <c r="AJ60" s="442"/>
      <c r="AK60" s="442"/>
      <c r="AL60" s="442"/>
      <c r="AM60" s="442"/>
      <c r="AN60" s="443"/>
      <c r="AO60" s="441" t="s">
        <v>465</v>
      </c>
      <c r="AP60" s="442"/>
      <c r="AQ60" s="442"/>
      <c r="AR60" s="442"/>
      <c r="AS60" s="442"/>
      <c r="AT60" s="442"/>
      <c r="AU60" s="442"/>
      <c r="AV60" s="442"/>
      <c r="AW60" s="442"/>
      <c r="AX60" s="442"/>
      <c r="AY60" s="442"/>
      <c r="AZ60" s="442"/>
      <c r="BA60" s="442"/>
      <c r="BB60" s="443"/>
      <c r="BC60" s="441" t="s">
        <v>466</v>
      </c>
      <c r="BD60" s="442"/>
      <c r="BE60" s="442"/>
      <c r="BF60" s="442"/>
      <c r="BG60" s="442"/>
      <c r="BH60" s="442"/>
      <c r="BI60" s="442"/>
      <c r="BJ60" s="442"/>
      <c r="BK60" s="442"/>
      <c r="BL60" s="442"/>
      <c r="BM60" s="442"/>
      <c r="BN60" s="442"/>
      <c r="BO60" s="442"/>
      <c r="BP60" s="443"/>
      <c r="BQ60" s="441" t="s">
        <v>467</v>
      </c>
      <c r="BR60" s="442"/>
      <c r="BS60" s="442"/>
      <c r="BT60" s="442"/>
      <c r="BU60" s="442"/>
      <c r="BV60" s="442"/>
      <c r="BW60" s="442"/>
      <c r="BX60" s="442"/>
      <c r="BY60" s="442"/>
      <c r="BZ60" s="442"/>
      <c r="CA60" s="442"/>
      <c r="CB60" s="442"/>
      <c r="CC60" s="442"/>
      <c r="CD60" s="443"/>
      <c r="CE60" s="441" t="s">
        <v>21</v>
      </c>
      <c r="CF60" s="442"/>
      <c r="CG60" s="442"/>
      <c r="CH60" s="442"/>
      <c r="CI60" s="442"/>
      <c r="CJ60" s="442"/>
      <c r="CK60" s="442"/>
      <c r="CL60" s="442"/>
      <c r="CM60" s="442"/>
      <c r="CN60" s="442"/>
      <c r="CO60" s="442"/>
      <c r="CP60" s="442"/>
      <c r="CQ60" s="442"/>
      <c r="CR60" s="443"/>
      <c r="CV60" s="263" t="s">
        <v>483</v>
      </c>
      <c r="CW60" s="263"/>
      <c r="CX60" s="445" t="s">
        <v>555</v>
      </c>
      <c r="CY60" s="439"/>
      <c r="CZ60" s="439"/>
      <c r="DA60" s="446"/>
      <c r="DB60" s="438" t="s">
        <v>554</v>
      </c>
      <c r="DC60" s="439"/>
      <c r="DD60" s="439"/>
      <c r="DE60" s="446"/>
      <c r="DF60" s="438" t="s">
        <v>465</v>
      </c>
      <c r="DG60" s="439"/>
      <c r="DH60" s="439"/>
      <c r="DI60" s="446"/>
      <c r="DJ60" s="438" t="s">
        <v>466</v>
      </c>
      <c r="DK60" s="439"/>
      <c r="DL60" s="439"/>
      <c r="DM60" s="446"/>
      <c r="DN60" s="438" t="s">
        <v>467</v>
      </c>
      <c r="DO60" s="439"/>
      <c r="DP60" s="439"/>
      <c r="DQ60" s="446"/>
      <c r="DR60" s="438" t="s">
        <v>21</v>
      </c>
      <c r="DS60" s="439"/>
      <c r="DT60" s="439"/>
      <c r="DU60" s="440"/>
      <c r="DW60" s="278"/>
      <c r="DX60" s="278"/>
      <c r="DY60" s="444" t="s">
        <v>589</v>
      </c>
      <c r="DZ60" s="444"/>
      <c r="EB60" s="278"/>
      <c r="EC60" s="278"/>
      <c r="ED60" s="444" t="s">
        <v>589</v>
      </c>
      <c r="EE60" s="444"/>
      <c r="EI60" t="s">
        <v>600</v>
      </c>
    </row>
    <row r="61" spans="1:167">
      <c r="A61" s="199"/>
      <c r="B61" s="199"/>
      <c r="C61" s="202" t="s">
        <v>464</v>
      </c>
      <c r="D61" s="202" t="s">
        <v>468</v>
      </c>
      <c r="E61" s="202" t="s">
        <v>465</v>
      </c>
      <c r="F61" s="202" t="s">
        <v>466</v>
      </c>
      <c r="G61" s="202" t="s">
        <v>467</v>
      </c>
      <c r="H61" s="202" t="s">
        <v>21</v>
      </c>
      <c r="K61" s="159"/>
      <c r="L61" s="159"/>
      <c r="M61" s="211" t="s">
        <v>473</v>
      </c>
      <c r="N61" s="160" t="s">
        <v>156</v>
      </c>
      <c r="O61" s="160" t="s">
        <v>476</v>
      </c>
      <c r="P61" s="160" t="s">
        <v>477</v>
      </c>
      <c r="Q61" s="160" t="s">
        <v>478</v>
      </c>
      <c r="R61" s="160" t="s">
        <v>479</v>
      </c>
      <c r="S61" s="160" t="s">
        <v>480</v>
      </c>
      <c r="T61" s="160" t="s">
        <v>481</v>
      </c>
      <c r="U61" s="160" t="s">
        <v>449</v>
      </c>
      <c r="V61" s="160" t="s">
        <v>157</v>
      </c>
      <c r="W61" s="160" t="s">
        <v>474</v>
      </c>
      <c r="X61" s="160" t="s">
        <v>475</v>
      </c>
      <c r="Y61" s="160" t="s">
        <v>46</v>
      </c>
      <c r="Z61" s="212" t="s">
        <v>11</v>
      </c>
      <c r="AA61" s="211" t="s">
        <v>473</v>
      </c>
      <c r="AB61" s="160" t="s">
        <v>156</v>
      </c>
      <c r="AC61" s="160" t="s">
        <v>476</v>
      </c>
      <c r="AD61" s="160" t="s">
        <v>477</v>
      </c>
      <c r="AE61" s="160" t="s">
        <v>478</v>
      </c>
      <c r="AF61" s="160" t="s">
        <v>479</v>
      </c>
      <c r="AG61" s="160" t="s">
        <v>480</v>
      </c>
      <c r="AH61" s="160" t="s">
        <v>481</v>
      </c>
      <c r="AI61" s="160" t="s">
        <v>449</v>
      </c>
      <c r="AJ61" s="160" t="s">
        <v>157</v>
      </c>
      <c r="AK61" s="160" t="s">
        <v>474</v>
      </c>
      <c r="AL61" s="160" t="s">
        <v>475</v>
      </c>
      <c r="AM61" s="160" t="s">
        <v>46</v>
      </c>
      <c r="AN61" s="212" t="s">
        <v>11</v>
      </c>
      <c r="AO61" s="211" t="s">
        <v>473</v>
      </c>
      <c r="AP61" s="160" t="s">
        <v>156</v>
      </c>
      <c r="AQ61" s="160" t="s">
        <v>476</v>
      </c>
      <c r="AR61" s="160" t="s">
        <v>477</v>
      </c>
      <c r="AS61" s="160" t="s">
        <v>478</v>
      </c>
      <c r="AT61" s="160" t="s">
        <v>479</v>
      </c>
      <c r="AU61" s="160" t="s">
        <v>480</v>
      </c>
      <c r="AV61" s="160" t="s">
        <v>481</v>
      </c>
      <c r="AW61" s="160" t="s">
        <v>449</v>
      </c>
      <c r="AX61" s="160" t="s">
        <v>157</v>
      </c>
      <c r="AY61" s="160" t="s">
        <v>474</v>
      </c>
      <c r="AZ61" s="160" t="s">
        <v>475</v>
      </c>
      <c r="BA61" s="160" t="s">
        <v>46</v>
      </c>
      <c r="BB61" s="212" t="s">
        <v>11</v>
      </c>
      <c r="BC61" s="211" t="s">
        <v>473</v>
      </c>
      <c r="BD61" s="160" t="s">
        <v>156</v>
      </c>
      <c r="BE61" s="160" t="s">
        <v>476</v>
      </c>
      <c r="BF61" s="160" t="s">
        <v>477</v>
      </c>
      <c r="BG61" s="160" t="s">
        <v>478</v>
      </c>
      <c r="BH61" s="160" t="s">
        <v>479</v>
      </c>
      <c r="BI61" s="160" t="s">
        <v>480</v>
      </c>
      <c r="BJ61" s="160" t="s">
        <v>481</v>
      </c>
      <c r="BK61" s="160" t="s">
        <v>449</v>
      </c>
      <c r="BL61" s="160" t="s">
        <v>157</v>
      </c>
      <c r="BM61" s="160" t="s">
        <v>474</v>
      </c>
      <c r="BN61" s="160" t="s">
        <v>475</v>
      </c>
      <c r="BO61" s="160" t="s">
        <v>46</v>
      </c>
      <c r="BP61" s="212" t="s">
        <v>11</v>
      </c>
      <c r="BQ61" s="211" t="s">
        <v>473</v>
      </c>
      <c r="BR61" s="160" t="s">
        <v>156</v>
      </c>
      <c r="BS61" s="160" t="s">
        <v>476</v>
      </c>
      <c r="BT61" s="160" t="s">
        <v>477</v>
      </c>
      <c r="BU61" s="160" t="s">
        <v>478</v>
      </c>
      <c r="BV61" s="160" t="s">
        <v>479</v>
      </c>
      <c r="BW61" s="160" t="s">
        <v>480</v>
      </c>
      <c r="BX61" s="160" t="s">
        <v>481</v>
      </c>
      <c r="BY61" s="160" t="s">
        <v>449</v>
      </c>
      <c r="BZ61" s="160" t="s">
        <v>157</v>
      </c>
      <c r="CA61" s="160" t="s">
        <v>474</v>
      </c>
      <c r="CB61" s="160" t="s">
        <v>475</v>
      </c>
      <c r="CC61" s="160" t="s">
        <v>46</v>
      </c>
      <c r="CD61" s="212" t="s">
        <v>11</v>
      </c>
      <c r="CE61" s="211" t="s">
        <v>473</v>
      </c>
      <c r="CF61" s="160" t="s">
        <v>156</v>
      </c>
      <c r="CG61" s="160" t="s">
        <v>476</v>
      </c>
      <c r="CH61" s="160" t="s">
        <v>477</v>
      </c>
      <c r="CI61" s="160" t="s">
        <v>478</v>
      </c>
      <c r="CJ61" s="160" t="s">
        <v>479</v>
      </c>
      <c r="CK61" s="160" t="s">
        <v>480</v>
      </c>
      <c r="CL61" s="160" t="s">
        <v>481</v>
      </c>
      <c r="CM61" s="160" t="s">
        <v>449</v>
      </c>
      <c r="CN61" s="160" t="s">
        <v>157</v>
      </c>
      <c r="CO61" s="160" t="s">
        <v>474</v>
      </c>
      <c r="CP61" s="160" t="s">
        <v>475</v>
      </c>
      <c r="CQ61" s="160" t="s">
        <v>46</v>
      </c>
      <c r="CR61" s="212" t="s">
        <v>11</v>
      </c>
      <c r="CV61" s="263"/>
      <c r="CW61" s="263"/>
      <c r="CX61" s="264" t="s">
        <v>156</v>
      </c>
      <c r="CY61" s="264" t="s">
        <v>479</v>
      </c>
      <c r="CZ61" s="264" t="s">
        <v>480</v>
      </c>
      <c r="DA61" s="264" t="s">
        <v>157</v>
      </c>
      <c r="DB61" s="264" t="s">
        <v>156</v>
      </c>
      <c r="DC61" s="264" t="s">
        <v>479</v>
      </c>
      <c r="DD61" s="264" t="s">
        <v>480</v>
      </c>
      <c r="DE61" s="264" t="s">
        <v>157</v>
      </c>
      <c r="DF61" s="264" t="s">
        <v>156</v>
      </c>
      <c r="DG61" s="264" t="s">
        <v>479</v>
      </c>
      <c r="DH61" s="264" t="s">
        <v>480</v>
      </c>
      <c r="DI61" s="264" t="s">
        <v>157</v>
      </c>
      <c r="DJ61" s="264" t="s">
        <v>156</v>
      </c>
      <c r="DK61" s="264" t="s">
        <v>479</v>
      </c>
      <c r="DL61" s="264" t="s">
        <v>480</v>
      </c>
      <c r="DM61" s="264" t="s">
        <v>157</v>
      </c>
      <c r="DN61" s="264" t="s">
        <v>156</v>
      </c>
      <c r="DO61" s="264" t="s">
        <v>479</v>
      </c>
      <c r="DP61" s="264" t="s">
        <v>480</v>
      </c>
      <c r="DQ61" s="264" t="s">
        <v>157</v>
      </c>
      <c r="DR61" s="264" t="s">
        <v>156</v>
      </c>
      <c r="DS61" s="264" t="s">
        <v>479</v>
      </c>
      <c r="DT61" s="264" t="s">
        <v>480</v>
      </c>
      <c r="DU61" s="264" t="s">
        <v>157</v>
      </c>
      <c r="DW61" s="278"/>
      <c r="DX61" s="278"/>
      <c r="DY61" s="280" t="s">
        <v>586</v>
      </c>
      <c r="DZ61" s="280" t="s">
        <v>259</v>
      </c>
      <c r="EB61" s="278"/>
      <c r="EC61" s="278"/>
      <c r="ED61" s="280" t="s">
        <v>586</v>
      </c>
      <c r="EE61" s="280" t="s">
        <v>259</v>
      </c>
      <c r="EK61" s="420" t="s">
        <v>565</v>
      </c>
      <c r="EL61" s="420"/>
      <c r="EM61" s="420" t="s">
        <v>566</v>
      </c>
      <c r="EN61" s="420" t="s">
        <v>567</v>
      </c>
      <c r="EO61" s="420" t="s">
        <v>563</v>
      </c>
      <c r="EP61" s="421" t="s">
        <v>598</v>
      </c>
      <c r="EQ61" s="421" t="s">
        <v>586</v>
      </c>
      <c r="ER61" s="421" t="s">
        <v>605</v>
      </c>
      <c r="ES61" s="424" t="s">
        <v>867</v>
      </c>
      <c r="EU61" s="306" t="s">
        <v>565</v>
      </c>
      <c r="EV61" s="306"/>
      <c r="EW61" s="306" t="s">
        <v>566</v>
      </c>
      <c r="EX61" s="306" t="s">
        <v>567</v>
      </c>
      <c r="EY61" s="306" t="s">
        <v>563</v>
      </c>
      <c r="EZ61" s="307" t="s">
        <v>598</v>
      </c>
      <c r="FA61" s="307" t="s">
        <v>586</v>
      </c>
      <c r="FB61" s="307" t="s">
        <v>259</v>
      </c>
      <c r="FD61" s="101"/>
      <c r="FE61" s="101"/>
      <c r="FF61" s="101"/>
      <c r="FG61" s="101"/>
      <c r="FH61" s="101"/>
      <c r="FI61" s="374"/>
      <c r="FJ61" s="374"/>
      <c r="FK61" s="374"/>
    </row>
    <row r="62" spans="1:167">
      <c r="A62" s="205" t="s">
        <v>606</v>
      </c>
      <c r="B62" s="205" t="s">
        <v>607</v>
      </c>
      <c r="C62" s="201">
        <f>$L29*KTDB_TripDistribution_2025!L$12</f>
        <v>212.85667030934971</v>
      </c>
      <c r="D62" s="201">
        <f>$L29*KTDB_TripDistribution_2025!M$12</f>
        <v>1655.2018536362709</v>
      </c>
      <c r="E62" s="201">
        <f>$L29*KTDB_TripDistribution_2025!N$12</f>
        <v>73.367406614649781</v>
      </c>
      <c r="F62" s="201">
        <f>$L29*KTDB_TripDistribution_2025!O$12</f>
        <v>0.19896245861600012</v>
      </c>
      <c r="G62" s="201">
        <f>$L29*KTDB_TripDistribution_2025!P$12</f>
        <v>0.56372696607866424</v>
      </c>
      <c r="H62" s="201">
        <f>$K29*KTDB_TripDistribution_2025!Q$12</f>
        <v>1942.188619984965</v>
      </c>
      <c r="J62" s="230">
        <f t="shared" ref="J62:J66" si="12">CR62</f>
        <v>1942.1886199849653</v>
      </c>
      <c r="K62" s="206" t="s">
        <v>606</v>
      </c>
      <c r="L62" s="206" t="s">
        <v>607</v>
      </c>
      <c r="M62" s="206">
        <f>INDEX($A$61:$H$74,MATCH($L62,$B$61:$B$74,0),MATCH($M$60,$A$61:$H$61,0))*고양시_Modal_split!C$3 * 0.01</f>
        <v>0.59599867686617913</v>
      </c>
      <c r="N62" s="206">
        <f>INDEX($A$61:$H$74,MATCH($L62,$B$61:$B$74,0),MATCH($M$60,$A$61:$H$61,0))*고양시_Modal_split!D$3 * 0.01</f>
        <v>100.10649204648716</v>
      </c>
      <c r="O62" s="206">
        <f>INDEX($A$61:$H$74,MATCH($L62,$B$61:$B$74,0),MATCH($M$60,$A$61:$H$61,0))*고양시_Modal_split!E$3 * 0.01</f>
        <v>12.111544540601997</v>
      </c>
      <c r="P62" s="206">
        <f>INDEX($A$61:$H$74,MATCH($L62,$B$61:$B$74,0),MATCH($M$60,$A$61:$H$61,0))*고양시_Modal_split!F$3 * 0.01</f>
        <v>19.51895666736737</v>
      </c>
      <c r="Q62" s="206">
        <f>INDEX($A$61:$H$74,MATCH($L62,$B$61:$B$74,0),MATCH($M$60,$A$61:$H$61,0))*고양시_Modal_split!G$3 * 0.01</f>
        <v>1.9582813668460173</v>
      </c>
      <c r="R62" s="206">
        <f>INDEX($A$61:$H$74,MATCH($L62,$B$61:$B$74,0),MATCH($M$60,$A$61:$H$61,0))*고양시_Modal_split!H$3 * 0.01</f>
        <v>2.1285667030934971E-2</v>
      </c>
      <c r="S62" s="206">
        <f>INDEX($A$61:$H$74,MATCH($L62,$B$61:$B$74,0),MATCH($M$60,$A$61:$H$61,0))*고양시_Modal_split!I$3 * 0.01</f>
        <v>5.9174154345999215</v>
      </c>
      <c r="T62" s="206">
        <f>INDEX($A$61:$H$74,MATCH($L62,$B$61:$B$74,0),MATCH($M$60,$A$61:$H$61,0))*고양시_Modal_split!J$3 * 0.01</f>
        <v>64.793570442166057</v>
      </c>
      <c r="U62" s="206">
        <f>INDEX($A$61:$H$74,MATCH($L62,$B$61:$B$74,0),MATCH($M$60,$A$61:$H$61,0))*고양시_Modal_split!K$3 * 0.01</f>
        <v>0.31928500546402455</v>
      </c>
      <c r="V62" s="206">
        <f>INDEX($A$61:$H$74,MATCH($L62,$B$61:$B$74,0),MATCH($M$60,$A$61:$H$61,0))*고양시_Modal_split!L$3 * 0.01</f>
        <v>6.4282714433423607</v>
      </c>
      <c r="W62" s="206">
        <f>INDEX($A$61:$H$74,MATCH($L62,$B$61:$B$74,0),MATCH($M$60,$A$61:$H$61,0))*고양시_Modal_split!M$3 * 0.01</f>
        <v>0.48957034171150432</v>
      </c>
      <c r="X62" s="206">
        <f>INDEX($A$61:$H$74,MATCH($L62,$B$61:$B$74,0),MATCH($M$60,$A$61:$H$61,0))*고양시_Modal_split!N$3 * 0.01</f>
        <v>0.21285667030934974</v>
      </c>
      <c r="Y62" s="206">
        <f>INDEX($A$61:$H$74,MATCH($L62,$B$61:$B$74,0),MATCH($M$60,$A$61:$H$61,0))*고양시_Modal_split!O$3 * 0.01</f>
        <v>0.38314200655682945</v>
      </c>
      <c r="Z62" s="209">
        <f>INDEX($A$61:$H$74,MATCH($L62,$B$61:$B$74,0),MATCH($M$60,$A$61:$H$61,0))*고양시_Modal_split!P$3 * 0.01</f>
        <v>212.85667030934974</v>
      </c>
      <c r="AA62" s="207">
        <f>INDEX($A$61:$H$74,MATCH($L62,$B$61:$B$74,0),MATCH($AA$60,$A$61:$H$61,0))*고양시_Modal_split!C$3 * 0.01</f>
        <v>4.6345651901815579</v>
      </c>
      <c r="AB62" s="207">
        <f>INDEX($A$61:$H$74,MATCH($L62,$B$61:$B$74,0),MATCH($AA$60,$A$61:$H$61,0))*고양시_Modal_split!D$3 * 0.01</f>
        <v>778.4414317651383</v>
      </c>
      <c r="AC62" s="207">
        <f>INDEX($A$61:$H$74,MATCH($L62,$B$61:$B$74,0),MATCH($AA$60,$A$61:$H$61,0))*고양시_Modal_split!E$3 * 0.01</f>
        <v>94.18098547190381</v>
      </c>
      <c r="AD62" s="207">
        <f>INDEX($A$61:$H$74,MATCH($L62,$B$61:$B$74,0),MATCH($AA$60,$A$61:$H$61,0))*고양시_Modal_split!F$3 * 0.01</f>
        <v>151.78200997844604</v>
      </c>
      <c r="AE62" s="207">
        <f>INDEX($A$61:$H$74,MATCH($L62,$B$61:$B$74,0),MATCH($AA$60,$A$61:$H$61,0))*고양시_Modal_split!G$3 * 0.01</f>
        <v>15.22785705345369</v>
      </c>
      <c r="AF62" s="207">
        <f>INDEX($A$61:$H$74,MATCH($L62,$B$61:$B$74,0),MATCH($AA$60,$A$61:$H$61,0))*고양시_Modal_split!H$3 * 0.01</f>
        <v>0.16552018536362709</v>
      </c>
      <c r="AG62" s="207">
        <f>INDEX($A$61:$H$74,MATCH($L62,$B$61:$B$74,0),MATCH($AA$60,$A$61:$H$61,0))*고양시_Modal_split!I$3 * 0.01</f>
        <v>46.014611531088335</v>
      </c>
      <c r="AH62" s="207">
        <f>INDEX($A$61:$H$74,MATCH($L62,$B$61:$B$74,0),MATCH($AA$60,$A$61:$H$61,0))*고양시_Modal_split!J$3 * 0.01</f>
        <v>503.84344424688089</v>
      </c>
      <c r="AI62" s="207">
        <f>INDEX($A$61:$H$74,MATCH($L62,$B$61:$B$74,0),MATCH($AA$60,$A$61:$H$61,0))*고양시_Modal_split!K$3 * 0.01</f>
        <v>2.4828027804544064</v>
      </c>
      <c r="AJ62" s="207">
        <f>INDEX($A$61:$H$74,MATCH($L62,$B$61:$B$74,0),MATCH($AA$60,$A$61:$H$61,0))*고양시_Modal_split!L$3 * 0.01</f>
        <v>49.987095979815386</v>
      </c>
      <c r="AK62" s="207">
        <f>INDEX($A$61:$H$74,MATCH($L62,$B$61:$B$74,0),MATCH($AA$60,$A$61:$H$61,0))*고양시_Modal_split!M$3 * 0.01</f>
        <v>3.8069642633634224</v>
      </c>
      <c r="AL62" s="207">
        <f>INDEX($A$61:$H$74,MATCH($L62,$B$61:$B$74,0),MATCH($AA$60,$A$61:$H$61,0))*고양시_Modal_split!N$3 * 0.01</f>
        <v>1.6552018536362709</v>
      </c>
      <c r="AM62" s="207">
        <f>INDEX($A$61:$H$74,MATCH($L62,$B$61:$B$74,0),MATCH($AA$60,$A$61:$H$61,0))*고양시_Modal_split!O$3 * 0.01</f>
        <v>2.9793633365452878</v>
      </c>
      <c r="AN62" s="207">
        <f>INDEX($A$61:$H$74,MATCH($L62,$B$61:$B$74,0),MATCH($AA$60,$A$61:$H$61,0))*고양시_Modal_split!P$3 * 0.01</f>
        <v>1655.2018536362709</v>
      </c>
      <c r="AO62" s="303">
        <f>INDEX($A$61:$H$74,MATCH($L62,$B$61:$B$74,0),MATCH($AO$60,$A$61:$H$61,0))*고양시_Modal_split!C$3 * 0.01</f>
        <v>0.20542873852101939</v>
      </c>
      <c r="AP62" s="303">
        <f>INDEX($A$61:$H$74,MATCH($L62,$B$61:$B$74,0),MATCH($AO$60,$A$61:$H$61,0))*고양시_Modal_split!D$3 * 0.01</f>
        <v>34.50469133086979</v>
      </c>
      <c r="AQ62" s="303">
        <f>INDEX($A$61:$H$74,MATCH($L62,$B$61:$B$74,0),MATCH($AO$60,$A$61:$H$61,0))*고양시_Modal_split!E$3 * 0.01</f>
        <v>4.1746054363735725</v>
      </c>
      <c r="AR62" s="303">
        <f>INDEX($A$61:$H$74,MATCH($L62,$B$61:$B$74,0),MATCH($AO$60,$A$61:$H$61,0))*고양시_Modal_split!F$3 * 0.01</f>
        <v>6.727791186563385</v>
      </c>
      <c r="AS62" s="303">
        <f>INDEX($A$61:$H$74,MATCH($L62,$B$61:$B$74,0),MATCH($AO$60,$A$61:$H$61,0))*고양시_Modal_split!G$3 * 0.01</f>
        <v>0.67498014085477798</v>
      </c>
      <c r="AT62" s="303">
        <f>INDEX($A$61:$H$74,MATCH($L62,$B$61:$B$74,0),MATCH($AO$60,$A$61:$H$61,0))*고양시_Modal_split!H$3 * 0.01</f>
        <v>7.3367406614649779E-3</v>
      </c>
      <c r="AU62" s="303">
        <f>INDEX($A$61:$H$74,MATCH($L62,$B$61:$B$74,0),MATCH($AO$60,$A$61:$H$61,0))*고양시_Modal_split!I$3 * 0.01</f>
        <v>2.0396139038872638</v>
      </c>
      <c r="AV62" s="303">
        <f>INDEX($A$61:$H$74,MATCH($L62,$B$61:$B$74,0),MATCH($AO$60,$A$61:$H$61,0))*고양시_Modal_split!J$3 * 0.01</f>
        <v>22.333038573499394</v>
      </c>
      <c r="AW62" s="303">
        <f>INDEX($A$61:$H$74,MATCH($L62,$B$61:$B$74,0),MATCH($AO$60,$A$61:$H$61,0))*고양시_Modal_split!K$3 * 0.01</f>
        <v>0.11005110992197467</v>
      </c>
      <c r="AX62" s="303">
        <f>INDEX($A$61:$H$74,MATCH($L62,$B$61:$B$74,0),MATCH($AO$60,$A$61:$H$61,0))*고양시_Modal_split!L$3 * 0.01</f>
        <v>2.2156956797624234</v>
      </c>
      <c r="AY62" s="303">
        <f>INDEX($A$61:$H$74,MATCH($L62,$B$61:$B$74,0),MATCH($AO$60,$A$61:$H$61,0))*고양시_Modal_split!M$3 * 0.01</f>
        <v>0.16874503521369449</v>
      </c>
      <c r="AZ62" s="303">
        <f>INDEX($A$61:$H$74,MATCH($L62,$B$61:$B$74,0),MATCH($AO$60,$A$61:$H$61,0))*고양시_Modal_split!N$3 * 0.01</f>
        <v>7.3367406614649786E-2</v>
      </c>
      <c r="BA62" s="207">
        <f>INDEX($A$61:$H$74,MATCH($L62,$B$61:$B$74,0),MATCH($AO$60,$A$61:$H$61,0))*고양시_Modal_split!O$3 * 0.01</f>
        <v>0.13206133190636959</v>
      </c>
      <c r="BB62" s="207">
        <f>INDEX($A$61:$H$74,MATCH($L62,$B$61:$B$74,0),MATCH($AO$60,$A$61:$H$61,0))*고양시_Modal_split!P$3 * 0.01</f>
        <v>73.367406614649781</v>
      </c>
      <c r="BC62" s="207">
        <f>INDEX($A$61:$H$74,MATCH($L62,$B$61:$B$74,0),MATCH($BC$60,$A$61:$H$61,0))*고양시_Modal_split!C$3 * 0.01</f>
        <v>5.5709488412480034E-4</v>
      </c>
      <c r="BD62" s="207">
        <f>INDEX($A$61:$H$74,MATCH($L62,$B$61:$B$74,0),MATCH($BC$60,$A$61:$H$61,0))*고양시_Modal_split!D$3 * 0.01</f>
        <v>9.3572044287104861E-2</v>
      </c>
      <c r="BE62" s="207">
        <f>INDEX($A$61:$H$74,MATCH($L62,$B$61:$B$74,0),MATCH($BC$60,$A$61:$H$61,0))*고양시_Modal_split!E$3 * 0.01</f>
        <v>1.1320963895250407E-2</v>
      </c>
      <c r="BF62" s="207">
        <f>INDEX($A$61:$H$74,MATCH($L62,$B$61:$B$74,0),MATCH($BC$60,$A$61:$H$61,0))*고양시_Modal_split!F$3 * 0.01</f>
        <v>1.8244857455087211E-2</v>
      </c>
      <c r="BG62" s="207">
        <f>INDEX($A$61:$H$74,MATCH($L62,$B$61:$B$74,0),MATCH($BC$60,$A$61:$H$61,0))*고양시_Modal_split!G$3 * 0.01</f>
        <v>1.8304546192672011E-3</v>
      </c>
      <c r="BH62" s="207">
        <f>INDEX($A$61:$H$74,MATCH($L62,$B$61:$B$74,0),MATCH($BC$60,$A$61:$H$61,0))*고양시_Modal_split!H$3 * 0.01</f>
        <v>1.9896245861600014E-5</v>
      </c>
      <c r="BI62" s="207">
        <f>INDEX($A$61:$H$74,MATCH($L62,$B$61:$B$74,0),MATCH($BC$60,$A$61:$H$61,0))*고양시_Modal_split!I$3 * 0.01</f>
        <v>5.5311563495248029E-3</v>
      </c>
      <c r="BJ62" s="207">
        <f>INDEX($A$61:$H$74,MATCH($L62,$B$61:$B$74,0),MATCH($BC$60,$A$61:$H$61,0))*고양시_Modal_split!J$3 * 0.01</f>
        <v>6.0564172402710441E-2</v>
      </c>
      <c r="BK62" s="207">
        <f>INDEX($A$61:$H$74,MATCH($L62,$B$61:$B$74,0),MATCH($BC$60,$A$61:$H$61,0))*고양시_Modal_split!K$3 * 0.01</f>
        <v>2.9844368792400017E-4</v>
      </c>
      <c r="BL62" s="207">
        <f>INDEX($A$61:$H$74,MATCH($L62,$B$61:$B$74,0),MATCH($BC$60,$A$61:$H$61,0))*고양시_Modal_split!L$3 * 0.01</f>
        <v>6.0086662502032038E-3</v>
      </c>
      <c r="BM62" s="207">
        <f>INDEX($A$61:$H$74,MATCH($L62,$B$61:$B$74,0),MATCH($BC$60,$A$61:$H$61,0))*고양시_Modal_split!M$3 * 0.01</f>
        <v>4.5761365481680028E-4</v>
      </c>
      <c r="BN62" s="207">
        <f>INDEX($A$61:$H$74,MATCH($L62,$B$61:$B$74,0),MATCH($BC$60,$A$61:$H$61,0))*고양시_Modal_split!N$3 * 0.01</f>
        <v>1.9896245861600014E-4</v>
      </c>
      <c r="BO62" s="207">
        <f>INDEX($A$61:$H$74,MATCH($L62,$B$61:$B$74,0),MATCH($BC$60,$A$61:$H$61,0))*고양시_Modal_split!O$3 * 0.01</f>
        <v>3.5813242550880017E-4</v>
      </c>
      <c r="BP62" s="207">
        <f>INDEX($A$61:$H$74,MATCH($L62,$B$61:$B$74,0),MATCH($BC$60,$A$61:$H$61,0))*고양시_Modal_split!P$3 * 0.01</f>
        <v>0.19896245861600012</v>
      </c>
      <c r="BQ62" s="207">
        <f>INDEX($A$61:$H$74,MATCH($L62,$B$61:$B$74,0),MATCH($BQ$60,$A$61:$H$61,0))*고양시_Modal_split!C$3 * 0.01</f>
        <v>1.5784355050202598E-3</v>
      </c>
      <c r="BR62" s="207">
        <f>INDEX($A$61:$H$74,MATCH($L62,$B$61:$B$74,0),MATCH($BQ$60,$A$61:$H$61,0))*고양시_Modal_split!D$3 * 0.01</f>
        <v>0.26512079214679579</v>
      </c>
      <c r="BS62" s="207">
        <f>INDEX($A$61:$H$74,MATCH($L62,$B$61:$B$74,0),MATCH($BQ$60,$A$61:$H$61,0))*고양시_Modal_split!E$3 * 0.01</f>
        <v>3.2076064369875992E-2</v>
      </c>
      <c r="BT62" s="207">
        <f>INDEX($A$61:$H$74,MATCH($L62,$B$61:$B$74,0),MATCH($BQ$60,$A$61:$H$61,0))*고양시_Modal_split!F$3 * 0.01</f>
        <v>5.1693762789413511E-2</v>
      </c>
      <c r="BU62" s="207">
        <f>INDEX($A$61:$H$74,MATCH($L62,$B$61:$B$74,0),MATCH($BQ$60,$A$61:$H$61,0))*고양시_Modal_split!G$3 * 0.01</f>
        <v>5.1862880879237107E-3</v>
      </c>
      <c r="BV62" s="207">
        <f>INDEX($A$61:$H$74,MATCH($L62,$B$61:$B$74,0),MATCH($BQ$60,$A$61:$H$61,0))*고양시_Modal_split!H$3 * 0.01</f>
        <v>5.6372696607866431E-5</v>
      </c>
      <c r="BW62" s="207">
        <f>INDEX($A$61:$H$74,MATCH($L62,$B$61:$B$74,0),MATCH($BQ$60,$A$61:$H$61,0))*고양시_Modal_split!I$3 * 0.01</f>
        <v>1.5671609656986864E-2</v>
      </c>
      <c r="BX62" s="207">
        <f>INDEX($A$61:$H$74,MATCH($L62,$B$61:$B$74,0),MATCH($BQ$60,$A$61:$H$61,0))*고양시_Modal_split!J$3 * 0.01</f>
        <v>0.17159848847434539</v>
      </c>
      <c r="BY62" s="207">
        <f>INDEX($A$61:$H$74,MATCH($L62,$B$61:$B$74,0),MATCH($BQ$60,$A$61:$H$61,0))*고양시_Modal_split!K$3 * 0.01</f>
        <v>8.4559044911799639E-4</v>
      </c>
      <c r="BZ62" s="207">
        <f>INDEX($A$61:$H$74,MATCH($L62,$B$61:$B$74,0),MATCH($BQ$60,$A$61:$H$61,0))*고양시_Modal_split!L$3 * 0.01</f>
        <v>1.7024554375575662E-2</v>
      </c>
      <c r="CA62" s="207">
        <f>INDEX($A$61:$H$74,MATCH($L62,$B$61:$B$74,0),MATCH($BQ$60,$A$61:$H$61,0))*고양시_Modal_split!M$3 * 0.01</f>
        <v>1.2965720219809277E-3</v>
      </c>
      <c r="CB62" s="207">
        <f>INDEX($A$61:$H$74,MATCH($L62,$B$61:$B$74,0),MATCH($BQ$60,$A$61:$H$61,0))*고양시_Modal_split!N$3 * 0.01</f>
        <v>5.6372696607866429E-4</v>
      </c>
      <c r="CC62" s="207">
        <f>INDEX($A$61:$H$74,MATCH($L62,$B$61:$B$74,0),MATCH($BQ$60,$A$61:$H$61,0))*고양시_Modal_split!O$3 * 0.01</f>
        <v>1.0147085389415956E-3</v>
      </c>
      <c r="CD62" s="207">
        <f>INDEX($A$61:$H$74,MATCH($L62,$B$61:$B$74,0),MATCH($BQ$60,$A$61:$H$61,0))*고양시_Modal_split!P$3 * 0.01</f>
        <v>0.56372696607866424</v>
      </c>
      <c r="CE62" s="304">
        <f>M62+AA62+AO62+BC62+BQ62</f>
        <v>5.4381281359579017</v>
      </c>
      <c r="CF62" s="304">
        <f t="shared" ref="CF62:CF74" si="13">N62+AB62+AP62+BD62+BR62</f>
        <v>913.41130797892924</v>
      </c>
      <c r="CG62" s="304">
        <f t="shared" ref="CG62:CG74" si="14">O62+AC62+AQ62+BE62+BS62</f>
        <v>110.51053247714449</v>
      </c>
      <c r="CH62" s="304">
        <f t="shared" ref="CH62:CH74" si="15">P62+AD62+AR62+BF62+BT62</f>
        <v>178.09869645262131</v>
      </c>
      <c r="CI62" s="304">
        <f t="shared" ref="CI62:CI74" si="16">Q62+AE62+AS62+BG62+BU62</f>
        <v>17.868135303861674</v>
      </c>
      <c r="CJ62" s="304">
        <f t="shared" ref="CJ62:CJ74" si="17">R62+AF62+AT62+BH62+BV62</f>
        <v>0.19421886199849647</v>
      </c>
      <c r="CK62" s="304">
        <f t="shared" ref="CK62:CK74" si="18">S62+AG62+AU62+BI62+BW62</f>
        <v>53.992843635582034</v>
      </c>
      <c r="CL62" s="304">
        <f t="shared" ref="CL62:CL74" si="19">T62+AH62+AV62+BJ62+BX62</f>
        <v>591.20221592342341</v>
      </c>
      <c r="CM62" s="304">
        <f t="shared" ref="CM62:CM74" si="20">U62+AI62+AW62+BK62+BY62</f>
        <v>2.9132829299774476</v>
      </c>
      <c r="CN62" s="304">
        <f t="shared" ref="CN62:CN74" si="21">V62+AJ62+AX62+BL62+BZ62</f>
        <v>58.65409632354595</v>
      </c>
      <c r="CO62" s="304">
        <f t="shared" ref="CO62:CO74" si="22">W62+AK62+AY62+BM62+CA62</f>
        <v>4.4670338259654185</v>
      </c>
      <c r="CP62" s="304">
        <f t="shared" ref="CP62:CP74" si="23">X62+AL62+AZ62+BN62+CB62</f>
        <v>1.9421886199849652</v>
      </c>
      <c r="CQ62" s="304">
        <f t="shared" ref="CQ62:CQ74" si="24">Y62+AM62+BA62+BO62+CC62</f>
        <v>3.4959395159729376</v>
      </c>
      <c r="CR62" s="304">
        <f t="shared" ref="CR62:CR74" si="25">Z62+AN62+BB62+BP62+CD62</f>
        <v>1942.1886199849653</v>
      </c>
      <c r="CS62" s="305">
        <f>H62-CR62</f>
        <v>0</v>
      </c>
      <c r="CV62" s="265" t="s">
        <v>606</v>
      </c>
      <c r="CW62" s="265" t="s">
        <v>607</v>
      </c>
      <c r="CX62" s="267">
        <f>INDEX($M$60:$Z$74,MATCH($CW62,$L$60:$L$74,0),MATCH(CX$61,$M$61:$Z$61,0))/INDEX(고양시_재차인원!$D$4:$H$35,MATCH("고양시",고양시_재차인원!$B$4:$B$35,0),MATCH($CX$60,고양시_재차인원!$D$4:$H$4,0))</f>
        <v>89.380796470077811</v>
      </c>
      <c r="CY62" s="267">
        <f>INDEX($M$60:$Z$74,MATCH($CW62,$L$60:$L$74,0),MATCH(CY$61,$M$61:$Z$61,0))/INDEX(고양시_재차인원!$K$4:$O$20,MATCH("경기도",고양시_재차인원!$K$4:$K$20,0),MATCH($CY$61,고양시_재차인원!$K$4:$O$4,0))</f>
        <v>7.3934237689944322E-4</v>
      </c>
      <c r="CZ62" s="267">
        <f>INDEX($M$60:$Z$74,MATCH($CW62,$L$60:$L$74,0),MATCH(CZ$61,$M$61:$Z$61,0))/INDEX(고양시_재차인원!$K$4:$O$20,MATCH("경기도",고양시_재차인원!$K$4:$K$20,0),MATCH($CZ$61,고양시_재차인원!$K$4:$O$4,0))</f>
        <v>0.20553718077804523</v>
      </c>
      <c r="DA62" s="267">
        <f>INDEX($M$60:$Z$74,MATCH($CW62,$L$60:$L$74,0),MATCH(DA$61,$M$61:$Z$61,0))/INDEX(고양시_재차인원!$D$4:$H$35,MATCH("고양시",고양시_재차인원!$B$4:$B$35,0),MATCH($CX$60,고양시_재차인원!$D$4:$H$4,0))</f>
        <v>5.7395280744128216</v>
      </c>
      <c r="DB62" s="267">
        <f>INDEX($AA$60:$AN$74,MATCH($CW62,$L$60:$L$74,0),MATCH(DB$61,$AA$61:$AN$61,0))/INDEX(고양시_재차인원!$D$4:$H$35,MATCH("고양시",고양시_재차인원!$B$4:$B$35,0),MATCH($DB$60,고양시_재차인원!$D$4:$H$4,0))</f>
        <v>552.08612181924707</v>
      </c>
      <c r="DC62" s="267">
        <f>INDEX($AA$60:$AN$74,MATCH($CW62,$L$60:$L$74,0),MATCH(DC$61,$AA$61:$AN$61,0))/INDEX(고양시_재차인원!$K$4:$O$20,MATCH("경기도",고양시_재차인원!$K$4:$K$20,0),MATCH($DC$61,고양시_재차인원!$K$4:$O$4,0))</f>
        <v>5.7492249171110484E-3</v>
      </c>
      <c r="DD62" s="267">
        <f>INDEX($AA$60:$AN$74,MATCH($CW62,$L$60:$L$74,0),MATCH(DD$61,$AA$61:$AN$61,0))/INDEX(고양시_재차인원!$K$4:$O$20,MATCH("경기도",고양시_재차인원!$K$4:$K$20,0),MATCH($DD$61,고양시_재차인원!$K$4:$O$4,0))</f>
        <v>1.5982845269568717</v>
      </c>
      <c r="DE62" s="267">
        <f>INDEX($AA$60:$AN$74,MATCH($CW62,$L$60:$L$74,0),MATCH(DE$61,$AA$61:$AN$61,0))/INDEX(고양시_재차인원!$D$4:$H$35,MATCH("고양시",고양시_재차인원!$B$4:$B$35,0),MATCH($DB$60,고양시_재차인원!$D$4:$H$4,0))</f>
        <v>35.451841120436448</v>
      </c>
      <c r="DF62" s="267">
        <f>INDEX($AO$60:$BB$74,MATCH($CW62,$L$60:$L$74,0),MATCH(DF$61,$AO$61:$BB$61,0))/INDEX(고양시_재차인원!$D$4:$H$35,MATCH("고양시",고양시_재차인원!$B$4:$B$35,0),MATCH($DF$60,고양시_재차인원!$D$4:$H$4,0))</f>
        <v>26.54207025451522</v>
      </c>
      <c r="DG62" s="267">
        <f>INDEX($AO$60:$BB$74,MATCH($CW62,$L$60:$L$74,0),MATCH(DG$61,$AO$61:$BB$61,0))/INDEX(고양시_재차인원!$K$4:$O$20,MATCH("경기도",고양시_재차인원!$K$4:$K$20,0),MATCH($DG$61,고양시_재차인원!$K$4:$O$4,0))</f>
        <v>2.5483642450381999E-4</v>
      </c>
      <c r="DH62" s="267">
        <f>INDEX($AO$60:$BB$74,MATCH($CW62,$L$60:$L$74,0),MATCH(DH$61,$AO$61:$BB$61,0))/INDEX(고양시_재차인원!$K$4:$O$20,MATCH("경기도",고양시_재차인원!$K$4:$K$20,0),MATCH($DH$61,고양시_재차인원!$K$4:$O$4,0))</f>
        <v>7.0844526012061967E-2</v>
      </c>
      <c r="DI62" s="267">
        <f>INDEX($AO$60:$BB$74,MATCH($CW62,$L$60:$L$74,0),MATCH(DI$61,$AO$61:$BB$61,0))/INDEX(고양시_재차인원!$D$4:$H$35,MATCH("고양시",고양시_재차인원!$B$4:$B$35,0),MATCH($DF$60,고양시_재차인원!$D$4:$H$4,0))</f>
        <v>1.704381292124941</v>
      </c>
      <c r="DJ62" s="267">
        <f>INDEX($BC$60:$BP$74,MATCH($CW62,$L$60:$L$74,0),MATCH(DJ$61,$BC$61:$BP$61,0))/INDEX(고양시_재차인원!$D$4:$H$35,MATCH("고양시",고양시_재차인원!$B$4:$B$35,0),MATCH($DJ$60,고양시_재차인원!$D$4:$H$4,0))</f>
        <v>6.8802973740518275E-2</v>
      </c>
      <c r="DK62" s="267">
        <f>INDEX($BC$60:$BP$74,MATCH($CW62,$L$60:$L$74,0),MATCH(DK$61,$BC$61:$BP$61,0))/INDEX(고양시_재차인원!$K$4:$O$20,MATCH("경기도",고양시_재차인원!$K$4:$K$20,0),MATCH($DK$61,고양시_재차인원!$K$4:$O$4,0))</f>
        <v>6.9108182916290432E-7</v>
      </c>
      <c r="DL62" s="267">
        <f>INDEX($BC$60:$BP$74,MATCH($CW62,$L$60:$L$74,0),MATCH(DL$61,$BC$61:$BP$61,0))/INDEX(고양시_재차인원!$K$4:$O$20,MATCH("경기도",고양시_재차인원!$K$4:$K$20,0),MATCH($DL$61,고양시_재차인원!$K$4:$O$4,0))</f>
        <v>1.9212074850728737E-4</v>
      </c>
      <c r="DM62" s="267">
        <f>INDEX($BC$60:$BP$74,MATCH($CW62,$L$60:$L$74,0),MATCH(DM$61,$BC$61:$BP$61,0))/INDEX(고양시_재차인원!$D$4:$H$35,MATCH("고양시",고양시_재차인원!$B$4:$B$35,0),MATCH($DJ$60,고양시_재차인원!$D$4:$H$4,0))</f>
        <v>4.4181369486788261E-3</v>
      </c>
      <c r="DN62" s="267">
        <f>INDEX($BQ$60:$CD$74,MATCH($CW62,$L$60:$L$74,0),MATCH(DN$61,$BQ$61:$CD$61,0))/INDEX(고양시_재차인원!$D$4:$H$35,MATCH("고양시",고양시_재차인원!$B$4:$B$35,0),MATCH($DN$60,고양시_재차인원!$D$4:$H$4,0))</f>
        <v>0.21041332710063157</v>
      </c>
      <c r="DO62" s="267">
        <f>INDEX($BQ$60:$CD$74,MATCH($CW62,$L$60:$L$74,0),MATCH(DO$61,$BQ$61:$CD$61,0))/INDEX(고양시_재차인원!$K$4:$O$20,MATCH("경기도",고양시_재차인원!$K$4:$K$20,0),MATCH($DO$61,고양시_재차인원!$K$4:$O$4,0))</f>
        <v>1.9580651826282194E-6</v>
      </c>
      <c r="DP62" s="267">
        <f>INDEX($BQ$60:$CD$74,MATCH($CW62,$L$60:$L$74,0),MATCH(DP$61,$BQ$61:$CD$61,0))/INDEX(고양시_재차인원!$K$4:$O$20,MATCH("경기도",고양시_재차인원!$K$4:$K$20,0),MATCH($DP$61,고양시_재차인원!$K$4:$O$4,0))</f>
        <v>5.4434212077064485E-4</v>
      </c>
      <c r="DQ62" s="267">
        <f>INDEX($BQ$60:$CD$74,MATCH($CW62,$L$60:$L$74,0),MATCH(DQ$61,$BQ$61:$CD$61,0))/INDEX(고양시_재차인원!$D$4:$H$35,MATCH("고양시",고양시_재차인원!$B$4:$B$35,0),MATCH($DN$60,고양시_재차인원!$D$4:$H$4,0))</f>
        <v>1.3511551091726715E-2</v>
      </c>
      <c r="DR62" s="270">
        <f>CX62+DB62+DF62+DJ62+DN62</f>
        <v>668.28820484468122</v>
      </c>
      <c r="DS62" s="270">
        <f t="shared" ref="DS62:DS74" si="26">CY62+DC62+DG62+DK62+DO62</f>
        <v>6.7460528655261028E-3</v>
      </c>
      <c r="DT62" s="270">
        <f t="shared" ref="DT62:DT74" si="27">CZ62+DD62+DH62+DL62+DP62</f>
        <v>1.8754026966162571</v>
      </c>
      <c r="DU62" s="270">
        <f t="shared" ref="DU62:DU74" si="28">DA62+DE62+DI62+DM62+DQ62</f>
        <v>42.913680175014619</v>
      </c>
      <c r="DW62" s="278" t="s">
        <v>606</v>
      </c>
      <c r="DX62" s="278" t="s">
        <v>607</v>
      </c>
      <c r="DY62" s="281">
        <f>DR62+DU62</f>
        <v>711.20188501969585</v>
      </c>
      <c r="DZ62" s="281">
        <f>DS62+DT62</f>
        <v>1.8821487494817832</v>
      </c>
      <c r="EB62" s="278" t="s">
        <v>624</v>
      </c>
      <c r="EC62" s="278" t="s">
        <v>607</v>
      </c>
      <c r="ED62" s="309">
        <f>DY62+DY$68*($EN64/SUM($EN$64:$EN$67))</f>
        <v>835.22114354533892</v>
      </c>
      <c r="EE62" s="309">
        <f t="shared" ref="EE62:EE65" si="29">DZ62+DZ$68*($EN64/SUM($EN$64:$EN$67))</f>
        <v>2.2103575144785643</v>
      </c>
      <c r="EF62" t="b">
        <f>SUM(ED62:EE65)=SUM(DY62:DZ65,DY68:DZ68)</f>
        <v>1</v>
      </c>
      <c r="EK62" s="420" t="s">
        <v>12</v>
      </c>
      <c r="EL62" s="420" t="s">
        <v>12</v>
      </c>
      <c r="EM62" s="420" t="s">
        <v>568</v>
      </c>
      <c r="EN62" s="420">
        <v>14267.0414</v>
      </c>
      <c r="EO62" s="420">
        <v>0.4735987268619668</v>
      </c>
      <c r="EP62" s="421">
        <v>849001</v>
      </c>
      <c r="EQ62" s="422">
        <f>VLOOKUP($EL62,$EC$62:$EE$73,2,FALSE)*$EO62 * $CW$9*(1-$DA$5)</f>
        <v>33.701540557549002</v>
      </c>
      <c r="ER62" s="422">
        <f>VLOOKUP($EL62,$EC$62:$EE$73,3,FALSE)*$EO62*$CW$9*(1-$DA$5)</f>
        <v>8.9188898050015453E-2</v>
      </c>
      <c r="ES62">
        <v>0</v>
      </c>
      <c r="EU62" s="306" t="s">
        <v>12</v>
      </c>
      <c r="EV62" s="306" t="s">
        <v>12</v>
      </c>
      <c r="EW62" s="306" t="s">
        <v>568</v>
      </c>
      <c r="EX62" s="306">
        <v>14267.0414</v>
      </c>
      <c r="EY62" s="306">
        <v>0.4735987268619668</v>
      </c>
      <c r="EZ62" s="307">
        <v>849001</v>
      </c>
      <c r="FA62" s="308">
        <f>EQ62*$EG$55</f>
        <v>33.701540557549002</v>
      </c>
      <c r="FB62" s="308">
        <f t="shared" ref="FB62:FB81" si="30">ER62*$EG$55</f>
        <v>8.9188898050015453E-2</v>
      </c>
      <c r="FD62" s="101"/>
      <c r="FE62" s="101"/>
      <c r="FF62" s="101"/>
      <c r="FG62" s="101"/>
      <c r="FH62" s="101"/>
      <c r="FI62" s="374"/>
      <c r="FJ62" s="404"/>
      <c r="FK62" s="404"/>
    </row>
    <row r="63" spans="1:167">
      <c r="A63" s="205" t="s">
        <v>606</v>
      </c>
      <c r="B63" s="205" t="s">
        <v>608</v>
      </c>
      <c r="C63" s="201">
        <f>$L30*KTDB_TripDistribution_2025!L$12</f>
        <v>211.59219609290403</v>
      </c>
      <c r="D63" s="201">
        <f>$L30*KTDB_TripDistribution_2025!M$12</f>
        <v>1645.3691335063618</v>
      </c>
      <c r="E63" s="201">
        <f>$L30*KTDB_TripDistribution_2025!N$12</f>
        <v>72.931567822955429</v>
      </c>
      <c r="F63" s="201">
        <f>$L30*KTDB_TripDistribution_2025!O$12</f>
        <v>0.19778052290971035</v>
      </c>
      <c r="G63" s="201">
        <f>$L30*KTDB_TripDistribution_2025!P$12</f>
        <v>0.56037814824417653</v>
      </c>
      <c r="H63" s="201">
        <f>$K30*KTDB_TripDistribution_2025!Q$12</f>
        <v>1930.6510560933752</v>
      </c>
      <c r="J63" s="230">
        <f t="shared" si="12"/>
        <v>1930.651056093375</v>
      </c>
      <c r="K63" s="206" t="s">
        <v>606</v>
      </c>
      <c r="L63" s="206" t="s">
        <v>608</v>
      </c>
      <c r="M63" s="206">
        <f>INDEX($A$61:$H$74,MATCH($L63,$B$61:$B$74,0),MATCH($M$60,$A$61:$H$61,0))*고양시_Modal_split!C$3 * 0.01</f>
        <v>0.59245814906013128</v>
      </c>
      <c r="N63" s="206">
        <f>INDEX($A$61:$H$74,MATCH($L63,$B$61:$B$74,0),MATCH($M$60,$A$61:$H$61,0))*고양시_Modal_split!D$3 * 0.01</f>
        <v>99.511809822492765</v>
      </c>
      <c r="O63" s="206">
        <f>INDEX($A$61:$H$74,MATCH($L63,$B$61:$B$74,0),MATCH($M$60,$A$61:$H$61,0))*고양시_Modal_split!E$3 * 0.01</f>
        <v>12.039595957686238</v>
      </c>
      <c r="P63" s="206">
        <f>INDEX($A$61:$H$74,MATCH($L63,$B$61:$B$74,0),MATCH($M$60,$A$61:$H$61,0))*고양시_Modal_split!F$3 * 0.01</f>
        <v>19.403004381719299</v>
      </c>
      <c r="Q63" s="206">
        <f>INDEX($A$61:$H$74,MATCH($L63,$B$61:$B$74,0),MATCH($M$60,$A$61:$H$61,0))*고양시_Modal_split!G$3 * 0.01</f>
        <v>1.9466482040547168</v>
      </c>
      <c r="R63" s="206">
        <f>INDEX($A$61:$H$74,MATCH($L63,$B$61:$B$74,0),MATCH($M$60,$A$61:$H$61,0))*고양시_Modal_split!H$3 * 0.01</f>
        <v>2.1159219609290406E-2</v>
      </c>
      <c r="S63" s="206">
        <f>INDEX($A$61:$H$74,MATCH($L63,$B$61:$B$74,0),MATCH($M$60,$A$61:$H$61,0))*고양시_Modal_split!I$3 * 0.01</f>
        <v>5.882263051382731</v>
      </c>
      <c r="T63" s="206">
        <f>INDEX($A$61:$H$74,MATCH($L63,$B$61:$B$74,0),MATCH($M$60,$A$61:$H$61,0))*고양시_Modal_split!J$3 * 0.01</f>
        <v>64.408664490679996</v>
      </c>
      <c r="U63" s="206">
        <f>INDEX($A$61:$H$74,MATCH($L63,$B$61:$B$74,0),MATCH($M$60,$A$61:$H$61,0))*고양시_Modal_split!K$3 * 0.01</f>
        <v>0.31738829413935604</v>
      </c>
      <c r="V63" s="206">
        <f>INDEX($A$61:$H$74,MATCH($L63,$B$61:$B$74,0),MATCH($M$60,$A$61:$H$61,0))*고양시_Modal_split!L$3 * 0.01</f>
        <v>6.390084322005702</v>
      </c>
      <c r="W63" s="206">
        <f>INDEX($A$61:$H$74,MATCH($L63,$B$61:$B$74,0),MATCH($M$60,$A$61:$H$61,0))*고양시_Modal_split!M$3 * 0.01</f>
        <v>0.48666205101367921</v>
      </c>
      <c r="X63" s="206">
        <f>INDEX($A$61:$H$74,MATCH($L63,$B$61:$B$74,0),MATCH($M$60,$A$61:$H$61,0))*고양시_Modal_split!N$3 * 0.01</f>
        <v>0.21159219609290403</v>
      </c>
      <c r="Y63" s="206">
        <f>INDEX($A$61:$H$74,MATCH($L63,$B$61:$B$74,0),MATCH($M$60,$A$61:$H$61,0))*고양시_Modal_split!O$3 * 0.01</f>
        <v>0.38086595296722731</v>
      </c>
      <c r="Z63" s="209">
        <f>INDEX($A$61:$H$74,MATCH($L63,$B$61:$B$74,0),MATCH($M$60,$A$61:$H$61,0))*고양시_Modal_split!P$3 * 0.01</f>
        <v>211.59219609290406</v>
      </c>
      <c r="AA63" s="207">
        <f>INDEX($A$61:$H$74,MATCH($L63,$B$61:$B$74,0),MATCH($AA$60,$A$61:$H$61,0))*고양시_Modal_split!C$3 * 0.01</f>
        <v>4.6070335738178123</v>
      </c>
      <c r="AB63" s="207">
        <f>INDEX($A$61:$H$74,MATCH($L63,$B$61:$B$74,0),MATCH($AA$60,$A$61:$H$61,0))*고양시_Modal_split!D$3 * 0.01</f>
        <v>773.81710348804188</v>
      </c>
      <c r="AC63" s="207">
        <f>INDEX($A$61:$H$74,MATCH($L63,$B$61:$B$74,0),MATCH($AA$60,$A$61:$H$61,0))*고양시_Modal_split!E$3 * 0.01</f>
        <v>93.621503696511979</v>
      </c>
      <c r="AD63" s="207">
        <f>INDEX($A$61:$H$74,MATCH($L63,$B$61:$B$74,0),MATCH($AA$60,$A$61:$H$61,0))*고양시_Modal_split!F$3 * 0.01</f>
        <v>150.88034954253337</v>
      </c>
      <c r="AE63" s="207">
        <f>INDEX($A$61:$H$74,MATCH($L63,$B$61:$B$74,0),MATCH($AA$60,$A$61:$H$61,0))*고양시_Modal_split!G$3 * 0.01</f>
        <v>15.137396028258527</v>
      </c>
      <c r="AF63" s="207">
        <f>INDEX($A$61:$H$74,MATCH($L63,$B$61:$B$74,0),MATCH($AA$60,$A$61:$H$61,0))*고양시_Modal_split!H$3 * 0.01</f>
        <v>0.16453691335063617</v>
      </c>
      <c r="AG63" s="207">
        <f>INDEX($A$61:$H$74,MATCH($L63,$B$61:$B$74,0),MATCH($AA$60,$A$61:$H$61,0))*고양시_Modal_split!I$3 * 0.01</f>
        <v>45.741261911476862</v>
      </c>
      <c r="AH63" s="207">
        <f>INDEX($A$61:$H$74,MATCH($L63,$B$61:$B$74,0),MATCH($AA$60,$A$61:$H$61,0))*고양시_Modal_split!J$3 * 0.01</f>
        <v>500.85036423933656</v>
      </c>
      <c r="AI63" s="207">
        <f>INDEX($A$61:$H$74,MATCH($L63,$B$61:$B$74,0),MATCH($AA$60,$A$61:$H$61,0))*고양시_Modal_split!K$3 * 0.01</f>
        <v>2.4680537002595426</v>
      </c>
      <c r="AJ63" s="207">
        <f>INDEX($A$61:$H$74,MATCH($L63,$B$61:$B$74,0),MATCH($AA$60,$A$61:$H$61,0))*고양시_Modal_split!L$3 * 0.01</f>
        <v>49.690147831892126</v>
      </c>
      <c r="AK63" s="207">
        <f>INDEX($A$61:$H$74,MATCH($L63,$B$61:$B$74,0),MATCH($AA$60,$A$61:$H$61,0))*고양시_Modal_split!M$3 * 0.01</f>
        <v>3.7843490070646317</v>
      </c>
      <c r="AL63" s="207">
        <f>INDEX($A$61:$H$74,MATCH($L63,$B$61:$B$74,0),MATCH($AA$60,$A$61:$H$61,0))*고양시_Modal_split!N$3 * 0.01</f>
        <v>1.6453691335063618</v>
      </c>
      <c r="AM63" s="207">
        <f>INDEX($A$61:$H$74,MATCH($L63,$B$61:$B$74,0),MATCH($AA$60,$A$61:$H$61,0))*고양시_Modal_split!O$3 * 0.01</f>
        <v>2.9616644403114512</v>
      </c>
      <c r="AN63" s="207">
        <f>INDEX($A$61:$H$74,MATCH($L63,$B$61:$B$74,0),MATCH($AA$60,$A$61:$H$61,0))*고양시_Modal_split!P$3 * 0.01</f>
        <v>1645.3691335063618</v>
      </c>
      <c r="AO63" s="303">
        <f>INDEX($A$61:$H$74,MATCH($L63,$B$61:$B$74,0),MATCH($AO$60,$A$61:$H$61,0))*고양시_Modal_split!C$3 * 0.01</f>
        <v>0.2042083899042752</v>
      </c>
      <c r="AP63" s="303">
        <f>INDEX($A$61:$H$74,MATCH($L63,$B$61:$B$74,0),MATCH($AO$60,$A$61:$H$61,0))*고양시_Modal_split!D$3 * 0.01</f>
        <v>34.299716347135941</v>
      </c>
      <c r="AQ63" s="303">
        <f>INDEX($A$61:$H$74,MATCH($L63,$B$61:$B$74,0),MATCH($AO$60,$A$61:$H$61,0))*고양시_Modal_split!E$3 * 0.01</f>
        <v>4.1498062091261634</v>
      </c>
      <c r="AR63" s="303">
        <f>INDEX($A$61:$H$74,MATCH($L63,$B$61:$B$74,0),MATCH($AO$60,$A$61:$H$61,0))*고양시_Modal_split!F$3 * 0.01</f>
        <v>6.6878247693650135</v>
      </c>
      <c r="AS63" s="303">
        <f>INDEX($A$61:$H$74,MATCH($L63,$B$61:$B$74,0),MATCH($AO$60,$A$61:$H$61,0))*고양시_Modal_split!G$3 * 0.01</f>
        <v>0.67097042397118989</v>
      </c>
      <c r="AT63" s="303">
        <f>INDEX($A$61:$H$74,MATCH($L63,$B$61:$B$74,0),MATCH($AO$60,$A$61:$H$61,0))*고양시_Modal_split!H$3 * 0.01</f>
        <v>7.2931567822955437E-3</v>
      </c>
      <c r="AU63" s="303">
        <f>INDEX($A$61:$H$74,MATCH($L63,$B$61:$B$74,0),MATCH($AO$60,$A$61:$H$61,0))*고양시_Modal_split!I$3 * 0.01</f>
        <v>2.0274975854781609</v>
      </c>
      <c r="AV63" s="303">
        <f>INDEX($A$61:$H$74,MATCH($L63,$B$61:$B$74,0),MATCH($AO$60,$A$61:$H$61,0))*고양시_Modal_split!J$3 * 0.01</f>
        <v>22.200369245307634</v>
      </c>
      <c r="AW63" s="303">
        <f>INDEX($A$61:$H$74,MATCH($L63,$B$61:$B$74,0),MATCH($AO$60,$A$61:$H$61,0))*고양시_Modal_split!K$3 * 0.01</f>
        <v>0.10939735173443314</v>
      </c>
      <c r="AX63" s="303">
        <f>INDEX($A$61:$H$74,MATCH($L63,$B$61:$B$74,0),MATCH($AO$60,$A$61:$H$61,0))*고양시_Modal_split!L$3 * 0.01</f>
        <v>2.2025333482532541</v>
      </c>
      <c r="AY63" s="303">
        <f>INDEX($A$61:$H$74,MATCH($L63,$B$61:$B$74,0),MATCH($AO$60,$A$61:$H$61,0))*고양시_Modal_split!M$3 * 0.01</f>
        <v>0.16774260599279747</v>
      </c>
      <c r="AZ63" s="303">
        <f>INDEX($A$61:$H$74,MATCH($L63,$B$61:$B$74,0),MATCH($AO$60,$A$61:$H$61,0))*고양시_Modal_split!N$3 * 0.01</f>
        <v>7.2931567822955443E-2</v>
      </c>
      <c r="BA63" s="207">
        <f>INDEX($A$61:$H$74,MATCH($L63,$B$61:$B$74,0),MATCH($AO$60,$A$61:$H$61,0))*고양시_Modal_split!O$3 * 0.01</f>
        <v>0.13127682208131977</v>
      </c>
      <c r="BB63" s="207">
        <f>INDEX($A$61:$H$74,MATCH($L63,$B$61:$B$74,0),MATCH($AO$60,$A$61:$H$61,0))*고양시_Modal_split!P$3 * 0.01</f>
        <v>72.931567822955429</v>
      </c>
      <c r="BC63" s="207">
        <f>INDEX($A$61:$H$74,MATCH($L63,$B$61:$B$74,0),MATCH($BC$60,$A$61:$H$61,0))*고양시_Modal_split!C$3 * 0.01</f>
        <v>5.5378546414718889E-4</v>
      </c>
      <c r="BD63" s="207">
        <f>INDEX($A$61:$H$74,MATCH($L63,$B$61:$B$74,0),MATCH($BC$60,$A$61:$H$61,0))*고양시_Modal_split!D$3 * 0.01</f>
        <v>9.3016179924436782E-2</v>
      </c>
      <c r="BE63" s="207">
        <f>INDEX($A$61:$H$74,MATCH($L63,$B$61:$B$74,0),MATCH($BC$60,$A$61:$H$61,0))*고양시_Modal_split!E$3 * 0.01</f>
        <v>1.1253711753562519E-2</v>
      </c>
      <c r="BF63" s="207">
        <f>INDEX($A$61:$H$74,MATCH($L63,$B$61:$B$74,0),MATCH($BC$60,$A$61:$H$61,0))*고양시_Modal_split!F$3 * 0.01</f>
        <v>1.813647395082044E-2</v>
      </c>
      <c r="BG63" s="207">
        <f>INDEX($A$61:$H$74,MATCH($L63,$B$61:$B$74,0),MATCH($BC$60,$A$61:$H$61,0))*고양시_Modal_split!G$3 * 0.01</f>
        <v>1.819580810769335E-3</v>
      </c>
      <c r="BH63" s="207">
        <f>INDEX($A$61:$H$74,MATCH($L63,$B$61:$B$74,0),MATCH($BC$60,$A$61:$H$61,0))*고양시_Modal_split!H$3 * 0.01</f>
        <v>1.9778052290971039E-5</v>
      </c>
      <c r="BI63" s="207">
        <f>INDEX($A$61:$H$74,MATCH($L63,$B$61:$B$74,0),MATCH($BC$60,$A$61:$H$61,0))*고양시_Modal_split!I$3 * 0.01</f>
        <v>5.498298536889947E-3</v>
      </c>
      <c r="BJ63" s="207">
        <f>INDEX($A$61:$H$74,MATCH($L63,$B$61:$B$74,0),MATCH($BC$60,$A$61:$H$61,0))*고양시_Modal_split!J$3 * 0.01</f>
        <v>6.0204391173715836E-2</v>
      </c>
      <c r="BK63" s="207">
        <f>INDEX($A$61:$H$74,MATCH($L63,$B$61:$B$74,0),MATCH($BC$60,$A$61:$H$61,0))*고양시_Modal_split!K$3 * 0.01</f>
        <v>2.966707843645655E-4</v>
      </c>
      <c r="BL63" s="207">
        <f>INDEX($A$61:$H$74,MATCH($L63,$B$61:$B$74,0),MATCH($BC$60,$A$61:$H$61,0))*고양시_Modal_split!L$3 * 0.01</f>
        <v>5.9729717918732533E-3</v>
      </c>
      <c r="BM63" s="207">
        <f>INDEX($A$61:$H$74,MATCH($L63,$B$61:$B$74,0),MATCH($BC$60,$A$61:$H$61,0))*고양시_Modal_split!M$3 * 0.01</f>
        <v>4.5489520269233376E-4</v>
      </c>
      <c r="BN63" s="207">
        <f>INDEX($A$61:$H$74,MATCH($L63,$B$61:$B$74,0),MATCH($BC$60,$A$61:$H$61,0))*고양시_Modal_split!N$3 * 0.01</f>
        <v>1.9778052290971037E-4</v>
      </c>
      <c r="BO63" s="207">
        <f>INDEX($A$61:$H$74,MATCH($L63,$B$61:$B$74,0),MATCH($BC$60,$A$61:$H$61,0))*고양시_Modal_split!O$3 * 0.01</f>
        <v>3.5600494123747863E-4</v>
      </c>
      <c r="BP63" s="207">
        <f>INDEX($A$61:$H$74,MATCH($L63,$B$61:$B$74,0),MATCH($BC$60,$A$61:$H$61,0))*고양시_Modal_split!P$3 * 0.01</f>
        <v>0.19778052290971038</v>
      </c>
      <c r="BQ63" s="207">
        <f>INDEX($A$61:$H$74,MATCH($L63,$B$61:$B$74,0),MATCH($BQ$60,$A$61:$H$61,0))*고양시_Modal_split!C$3 * 0.01</f>
        <v>1.569058815083694E-3</v>
      </c>
      <c r="BR63" s="207">
        <f>INDEX($A$61:$H$74,MATCH($L63,$B$61:$B$74,0),MATCH($BQ$60,$A$61:$H$61,0))*고양시_Modal_split!D$3 * 0.01</f>
        <v>0.26354584311923623</v>
      </c>
      <c r="BS63" s="207">
        <f>INDEX($A$61:$H$74,MATCH($L63,$B$61:$B$74,0),MATCH($BQ$60,$A$61:$H$61,0))*고양시_Modal_split!E$3 * 0.01</f>
        <v>3.188551663509364E-2</v>
      </c>
      <c r="BT63" s="207">
        <f>INDEX($A$61:$H$74,MATCH($L63,$B$61:$B$74,0),MATCH($BQ$60,$A$61:$H$61,0))*고양시_Modal_split!F$3 * 0.01</f>
        <v>5.1386676193990989E-2</v>
      </c>
      <c r="BU63" s="207">
        <f>INDEX($A$61:$H$74,MATCH($L63,$B$61:$B$74,0),MATCH($BQ$60,$A$61:$H$61,0))*고양시_Modal_split!G$3 * 0.01</f>
        <v>5.1554789638464235E-3</v>
      </c>
      <c r="BV63" s="207">
        <f>INDEX($A$61:$H$74,MATCH($L63,$B$61:$B$74,0),MATCH($BQ$60,$A$61:$H$61,0))*고양시_Modal_split!H$3 * 0.01</f>
        <v>5.6037814824417661E-5</v>
      </c>
      <c r="BW63" s="207">
        <f>INDEX($A$61:$H$74,MATCH($L63,$B$61:$B$74,0),MATCH($BQ$60,$A$61:$H$61,0))*고양시_Modal_split!I$3 * 0.01</f>
        <v>1.5578512521188106E-2</v>
      </c>
      <c r="BX63" s="207">
        <f>INDEX($A$61:$H$74,MATCH($L63,$B$61:$B$74,0),MATCH($BQ$60,$A$61:$H$61,0))*고양시_Modal_split!J$3 * 0.01</f>
        <v>0.17057910832552736</v>
      </c>
      <c r="BY63" s="207">
        <f>INDEX($A$61:$H$74,MATCH($L63,$B$61:$B$74,0),MATCH($BQ$60,$A$61:$H$61,0))*고양시_Modal_split!K$3 * 0.01</f>
        <v>8.405672223662648E-4</v>
      </c>
      <c r="BZ63" s="207">
        <f>INDEX($A$61:$H$74,MATCH($L63,$B$61:$B$74,0),MATCH($BQ$60,$A$61:$H$61,0))*고양시_Modal_split!L$3 * 0.01</f>
        <v>1.6923420076974133E-2</v>
      </c>
      <c r="CA63" s="207">
        <f>INDEX($A$61:$H$74,MATCH($L63,$B$61:$B$74,0),MATCH($BQ$60,$A$61:$H$61,0))*고양시_Modal_split!M$3 * 0.01</f>
        <v>1.2888697409616059E-3</v>
      </c>
      <c r="CB63" s="207">
        <f>INDEX($A$61:$H$74,MATCH($L63,$B$61:$B$74,0),MATCH($BQ$60,$A$61:$H$61,0))*고양시_Modal_split!N$3 * 0.01</f>
        <v>5.6037814824417664E-4</v>
      </c>
      <c r="CC63" s="207">
        <f>INDEX($A$61:$H$74,MATCH($L63,$B$61:$B$74,0),MATCH($BQ$60,$A$61:$H$61,0))*고양시_Modal_split!O$3 * 0.01</f>
        <v>1.0086806668395177E-3</v>
      </c>
      <c r="CD63" s="207">
        <f>INDEX($A$61:$H$74,MATCH($L63,$B$61:$B$74,0),MATCH($BQ$60,$A$61:$H$61,0))*고양시_Modal_split!P$3 * 0.01</f>
        <v>0.56037814824417653</v>
      </c>
      <c r="CE63" s="304">
        <f t="shared" ref="CE63:CE74" si="31">M63+AA63+AO63+BC63+BQ63</f>
        <v>5.4058229570614493</v>
      </c>
      <c r="CF63" s="304">
        <f t="shared" si="13"/>
        <v>907.98519168071425</v>
      </c>
      <c r="CG63" s="304">
        <f t="shared" si="14"/>
        <v>109.85404509171305</v>
      </c>
      <c r="CH63" s="304">
        <f t="shared" si="15"/>
        <v>177.04070184376249</v>
      </c>
      <c r="CI63" s="304">
        <f t="shared" si="16"/>
        <v>17.761989716059048</v>
      </c>
      <c r="CJ63" s="304">
        <f t="shared" si="17"/>
        <v>0.19306510560933751</v>
      </c>
      <c r="CK63" s="304">
        <f t="shared" si="18"/>
        <v>53.67209935939583</v>
      </c>
      <c r="CL63" s="304">
        <f t="shared" si="19"/>
        <v>587.69018147482348</v>
      </c>
      <c r="CM63" s="304">
        <f t="shared" si="20"/>
        <v>2.8959765841400626</v>
      </c>
      <c r="CN63" s="304">
        <f t="shared" si="21"/>
        <v>58.30566189401992</v>
      </c>
      <c r="CO63" s="304">
        <f t="shared" si="22"/>
        <v>4.4404974290147621</v>
      </c>
      <c r="CP63" s="304">
        <f t="shared" si="23"/>
        <v>1.930651056093375</v>
      </c>
      <c r="CQ63" s="304">
        <f t="shared" si="24"/>
        <v>3.4751719009680753</v>
      </c>
      <c r="CR63" s="304">
        <f t="shared" si="25"/>
        <v>1930.651056093375</v>
      </c>
      <c r="CS63" s="305">
        <f t="shared" ref="CS63:CS74" si="32">H63-CR63</f>
        <v>0</v>
      </c>
      <c r="CV63" s="265" t="s">
        <v>606</v>
      </c>
      <c r="CW63" s="265" t="s">
        <v>608</v>
      </c>
      <c r="CX63" s="267">
        <f>INDEX($M$60:$Z$74,MATCH($CW63,$L$60:$L$74,0),MATCH(CX$61,$M$61:$Z$61,0))/INDEX(고양시_재차인원!$D$4:$H$35,MATCH("고양시",고양시_재차인원!$B$4:$B$35,0),MATCH($CX$60,고양시_재차인원!$D$4:$H$4,0))</f>
        <v>88.849830198654246</v>
      </c>
      <c r="CY63" s="267">
        <f>INDEX($M$60:$Z$74,MATCH($CW63,$L$60:$L$74,0),MATCH(CY$61,$M$61:$Z$61,0))/INDEX(고양시_재차인원!$K$4:$O$20,MATCH("경기도",고양시_재차인원!$K$4:$K$20,0),MATCH($CY$61,고양시_재차인원!$K$4:$O$4,0))</f>
        <v>7.3495031640466858E-4</v>
      </c>
      <c r="CZ63" s="267">
        <f>INDEX($M$60:$Z$74,MATCH($CW63,$L$60:$L$74,0),MATCH(CZ$61,$M$61:$Z$61,0))/INDEX(고양시_재차인원!$K$4:$O$20,MATCH("경기도",고양시_재차인원!$K$4:$K$20,0),MATCH($CZ$61,고양시_재차인원!$K$4:$O$4,0))</f>
        <v>0.20431618796049777</v>
      </c>
      <c r="DA63" s="267">
        <f>INDEX($M$60:$Z$74,MATCH($CW63,$L$60:$L$74,0),MATCH(DA$61,$M$61:$Z$61,0))/INDEX(고양시_재차인원!$D$4:$H$35,MATCH("고양시",고양시_재차인원!$B$4:$B$35,0),MATCH($CX$60,고양시_재차인원!$D$4:$H$4,0))</f>
        <v>5.705432430362233</v>
      </c>
      <c r="DB63" s="267">
        <f>INDEX($AA$60:$AN$74,MATCH($CW63,$L$60:$L$74,0),MATCH(DB$61,$AA$61:$AN$61,0))/INDEX(고양시_재차인원!$D$4:$H$35,MATCH("고양시",고양시_재차인원!$B$4:$B$35,0),MATCH($DB$60,고양시_재차인원!$D$4:$H$4,0))</f>
        <v>548.80645637449777</v>
      </c>
      <c r="DC63" s="267">
        <f>INDEX($AA$60:$AN$74,MATCH($CW63,$L$60:$L$74,0),MATCH(DC$61,$AA$61:$AN$61,0))/INDEX(고양시_재차인원!$K$4:$O$20,MATCH("경기도",고양시_재차인원!$K$4:$K$20,0),MATCH($DC$61,고양시_재차인원!$K$4:$O$4,0))</f>
        <v>5.7150716690043827E-3</v>
      </c>
      <c r="DD63" s="267">
        <f>INDEX($AA$60:$AN$74,MATCH($CW63,$L$60:$L$74,0),MATCH(DD$61,$AA$61:$AN$61,0))/INDEX(고양시_재차인원!$K$4:$O$20,MATCH("경기도",고양시_재차인원!$K$4:$K$20,0),MATCH($DD$61,고양시_재차인원!$K$4:$O$4,0))</f>
        <v>1.5887899239832186</v>
      </c>
      <c r="DE63" s="267">
        <f>INDEX($AA$60:$AN$74,MATCH($CW63,$L$60:$L$74,0),MATCH(DE$61,$AA$61:$AN$61,0))/INDEX(고양시_재차인원!$D$4:$H$35,MATCH("고양시",고양시_재차인원!$B$4:$B$35,0),MATCH($DB$60,고양시_재차인원!$D$4:$H$4,0))</f>
        <v>35.241239597086619</v>
      </c>
      <c r="DF63" s="267">
        <f>INDEX($AO$60:$BB$74,MATCH($CW63,$L$60:$L$74,0),MATCH(DF$61,$AO$61:$BB$61,0))/INDEX(고양시_재차인원!$D$4:$H$35,MATCH("고양시",고양시_재차인원!$B$4:$B$35,0),MATCH($DF$60,고양시_재차인원!$D$4:$H$4,0))</f>
        <v>26.384397190104568</v>
      </c>
      <c r="DG63" s="267">
        <f>INDEX($AO$60:$BB$74,MATCH($CW63,$L$60:$L$74,0),MATCH(DG$61,$AO$61:$BB$61,0))/INDEX(고양시_재차인원!$K$4:$O$20,MATCH("경기도",고양시_재차인원!$K$4:$K$20,0),MATCH($DG$61,고양시_재차인원!$K$4:$O$4,0))</f>
        <v>2.5332256972197099E-4</v>
      </c>
      <c r="DH63" s="267">
        <f>INDEX($AO$60:$BB$74,MATCH($CW63,$L$60:$L$74,0),MATCH(DH$61,$AO$61:$BB$61,0))/INDEX(고양시_재차인원!$K$4:$O$20,MATCH("경기도",고양시_재차인원!$K$4:$K$20,0),MATCH($DH$61,고양시_재차인원!$K$4:$O$4,0))</f>
        <v>7.0423674382707926E-2</v>
      </c>
      <c r="DI63" s="267">
        <f>INDEX($AO$60:$BB$74,MATCH($CW63,$L$60:$L$74,0),MATCH(DI$61,$AO$61:$BB$61,0))/INDEX(고양시_재차인원!$D$4:$H$35,MATCH("고양시",고양시_재차인원!$B$4:$B$35,0),MATCH($DF$60,고양시_재차인원!$D$4:$H$4,0))</f>
        <v>1.6942564217332723</v>
      </c>
      <c r="DJ63" s="267">
        <f>INDEX($BC$60:$BP$74,MATCH($CW63,$L$60:$L$74,0),MATCH(DJ$61,$BC$61:$BP$61,0))/INDEX(고양시_재차인원!$D$4:$H$35,MATCH("고양시",고양시_재차인원!$B$4:$B$35,0),MATCH($DJ$60,고양시_재차인원!$D$4:$H$4,0))</f>
        <v>6.8394249944438809E-2</v>
      </c>
      <c r="DK63" s="267">
        <f>INDEX($BC$60:$BP$74,MATCH($CW63,$L$60:$L$74,0),MATCH(DK$61,$BC$61:$BP$61,0))/INDEX(고양시_재차인원!$K$4:$O$20,MATCH("경기도",고양시_재차인원!$K$4:$K$20,0),MATCH($DK$61,고양시_재차인원!$K$4:$O$4,0))</f>
        <v>6.8697646026297461E-7</v>
      </c>
      <c r="DL63" s="267">
        <f>INDEX($BC$60:$BP$74,MATCH($CW63,$L$60:$L$74,0),MATCH(DL$61,$BC$61:$BP$61,0))/INDEX(고양시_재차인원!$K$4:$O$20,MATCH("경기도",고양시_재차인원!$K$4:$K$20,0),MATCH($DL$61,고양시_재차인원!$K$4:$O$4,0))</f>
        <v>1.9097945595310687E-4</v>
      </c>
      <c r="DM63" s="267">
        <f>INDEX($BC$60:$BP$74,MATCH($CW63,$L$60:$L$74,0),MATCH(DM$61,$BC$61:$BP$61,0))/INDEX(고양시_재차인원!$D$4:$H$35,MATCH("고양시",고양시_재차인원!$B$4:$B$35,0),MATCH($DJ$60,고양시_재차인원!$D$4:$H$4,0))</f>
        <v>4.391891023436215E-3</v>
      </c>
      <c r="DN63" s="267">
        <f>INDEX($BQ$60:$CD$74,MATCH($CW63,$L$60:$L$74,0),MATCH(DN$61,$BQ$61:$CD$61,0))/INDEX(고양시_재차인원!$D$4:$H$35,MATCH("고양시",고양시_재차인원!$B$4:$B$35,0),MATCH($DN$60,고양시_재차인원!$D$4:$H$4,0))</f>
        <v>0.20916336755494938</v>
      </c>
      <c r="DO63" s="267">
        <f>INDEX($BQ$60:$CD$74,MATCH($CW63,$L$60:$L$74,0),MATCH(DO$61,$BQ$61:$CD$61,0))/INDEX(고양시_재차인원!$K$4:$O$20,MATCH("경기도",고양시_재차인원!$K$4:$K$20,0),MATCH($DO$61,고양시_재차인원!$K$4:$O$4,0))</f>
        <v>1.9464333040784181E-6</v>
      </c>
      <c r="DP63" s="267">
        <f>INDEX($BQ$60:$CD$74,MATCH($CW63,$L$60:$L$74,0),MATCH(DP$61,$BQ$61:$CD$61,0))/INDEX(고양시_재차인원!$K$4:$O$20,MATCH("경기도",고양시_재차인원!$K$4:$K$20,0),MATCH($DP$61,고양시_재차인원!$K$4:$O$4,0))</f>
        <v>5.4110845853380012E-4</v>
      </c>
      <c r="DQ63" s="267">
        <f>INDEX($BQ$60:$CD$74,MATCH($CW63,$L$60:$L$74,0),MATCH(DQ$61,$BQ$61:$CD$61,0))/INDEX(고양시_재차인원!$D$4:$H$35,MATCH("고양시",고양시_재차인원!$B$4:$B$35,0),MATCH($DN$60,고양시_재차인원!$D$4:$H$4,0))</f>
        <v>1.3431285775376296E-2</v>
      </c>
      <c r="DR63" s="270">
        <f t="shared" ref="DR63:DR74" si="33">CX63+DB63+DF63+DJ63+DN63</f>
        <v>664.31824138075592</v>
      </c>
      <c r="DS63" s="270">
        <f t="shared" si="26"/>
        <v>6.7059779648953642E-3</v>
      </c>
      <c r="DT63" s="270">
        <f t="shared" si="27"/>
        <v>1.8642618742409114</v>
      </c>
      <c r="DU63" s="270">
        <f t="shared" si="28"/>
        <v>42.658751625980941</v>
      </c>
      <c r="DW63" s="278" t="s">
        <v>606</v>
      </c>
      <c r="DX63" s="278" t="s">
        <v>608</v>
      </c>
      <c r="DY63" s="281">
        <f t="shared" ref="DY63:DY66" si="34">DR63+DU63</f>
        <v>706.97699300673685</v>
      </c>
      <c r="DZ63" s="281">
        <f t="shared" ref="DZ63:DZ66" si="35">DS63+DT63</f>
        <v>1.8709678522058069</v>
      </c>
      <c r="EB63" s="278" t="s">
        <v>623</v>
      </c>
      <c r="EC63" s="278" t="s">
        <v>608</v>
      </c>
      <c r="ED63" s="309">
        <f t="shared" ref="ED63:ED65" si="36">DY63+DY$68*($EN65/SUM($EN$64:$EN$67))</f>
        <v>830.19628679597395</v>
      </c>
      <c r="EE63" s="309">
        <f t="shared" si="29"/>
        <v>2.1970595634377283</v>
      </c>
      <c r="EK63" s="420" t="s">
        <v>12</v>
      </c>
      <c r="EL63" s="420" t="s">
        <v>12</v>
      </c>
      <c r="EM63" s="420" t="s">
        <v>611</v>
      </c>
      <c r="EN63" s="420">
        <v>15857.7047</v>
      </c>
      <c r="EO63" s="420">
        <v>0.5264012731380332</v>
      </c>
      <c r="EP63" s="421">
        <v>849002</v>
      </c>
      <c r="EQ63" s="422">
        <f t="shared" ref="EQ63:EQ81" si="37">VLOOKUP($EL63,$EC$62:$EE$73,2,FALSE)*$EO63 * $CW$9*(1-$DA$5)</f>
        <v>37.458998198230887</v>
      </c>
      <c r="ER63" s="422">
        <f t="shared" ref="ER63:ER81" si="38">VLOOKUP($EL63,$EC$62:$EE$73,3,FALSE)*$EO63*$CW$9*(1-$DA$5)</f>
        <v>9.9132761176087339E-2</v>
      </c>
      <c r="ES63">
        <v>0</v>
      </c>
      <c r="EU63" s="306" t="s">
        <v>12</v>
      </c>
      <c r="EV63" s="306" t="s">
        <v>12</v>
      </c>
      <c r="EW63" s="306" t="s">
        <v>611</v>
      </c>
      <c r="EX63" s="306">
        <v>15857.7047</v>
      </c>
      <c r="EY63" s="306">
        <v>0.5264012731380332</v>
      </c>
      <c r="EZ63" s="307">
        <v>849002</v>
      </c>
      <c r="FA63" s="308">
        <f t="shared" ref="FA63:FA81" si="39">EQ63*$EG$55</f>
        <v>37.458998198230887</v>
      </c>
      <c r="FB63" s="308">
        <f t="shared" si="30"/>
        <v>9.9132761176087339E-2</v>
      </c>
      <c r="FD63" s="101"/>
      <c r="FE63" s="101"/>
      <c r="FF63" s="101"/>
      <c r="FG63" s="101"/>
      <c r="FH63" s="101"/>
      <c r="FI63" s="374"/>
      <c r="FJ63" s="404"/>
      <c r="FK63" s="404"/>
    </row>
    <row r="64" spans="1:167">
      <c r="A64" s="205" t="s">
        <v>606</v>
      </c>
      <c r="B64" s="205" t="s">
        <v>609</v>
      </c>
      <c r="C64" s="201">
        <f>$L31*KTDB_TripDistribution_2025!L$12</f>
        <v>173.3920744302502</v>
      </c>
      <c r="D64" s="201">
        <f>$L31*KTDB_TripDistribution_2025!M$12</f>
        <v>1348.3198933145295</v>
      </c>
      <c r="E64" s="201">
        <f>$L31*KTDB_TripDistribution_2025!N$12</f>
        <v>59.764755363285424</v>
      </c>
      <c r="F64" s="201">
        <f>$L31*KTDB_TripDistribution_2025!O$12</f>
        <v>0.16207391284958819</v>
      </c>
      <c r="G64" s="201">
        <f>$L31*KTDB_TripDistribution_2025!P$12</f>
        <v>0.45920941974049756</v>
      </c>
      <c r="H64" s="201">
        <f>$K31*KTDB_TripDistribution_2025!Q$12</f>
        <v>1582.0980064406551</v>
      </c>
      <c r="J64" s="230">
        <f t="shared" si="12"/>
        <v>1582.0980064406556</v>
      </c>
      <c r="K64" s="206" t="s">
        <v>606</v>
      </c>
      <c r="L64" s="206" t="s">
        <v>609</v>
      </c>
      <c r="M64" s="206">
        <f>INDEX($A$61:$H$74,MATCH($L64,$B$61:$B$74,0),MATCH($M$60,$A$61:$H$61,0))*고양시_Modal_split!C$3 * 0.01</f>
        <v>0.48549780840470053</v>
      </c>
      <c r="N64" s="206">
        <f>INDEX($A$61:$H$74,MATCH($L64,$B$61:$B$74,0),MATCH($M$60,$A$61:$H$61,0))*고양시_Modal_split!D$3 * 0.01</f>
        <v>81.546292604546679</v>
      </c>
      <c r="O64" s="206">
        <f>INDEX($A$61:$H$74,MATCH($L64,$B$61:$B$74,0),MATCH($M$60,$A$61:$H$61,0))*고양시_Modal_split!E$3 * 0.01</f>
        <v>9.8660090350812357</v>
      </c>
      <c r="P64" s="206">
        <f>INDEX($A$61:$H$74,MATCH($L64,$B$61:$B$74,0),MATCH($M$60,$A$61:$H$61,0))*고양시_Modal_split!F$3 * 0.01</f>
        <v>15.900053225253943</v>
      </c>
      <c r="Q64" s="206">
        <f>INDEX($A$61:$H$74,MATCH($L64,$B$61:$B$74,0),MATCH($M$60,$A$61:$H$61,0))*고양시_Modal_split!G$3 * 0.01</f>
        <v>1.5952070847583018</v>
      </c>
      <c r="R64" s="206">
        <f>INDEX($A$61:$H$74,MATCH($L64,$B$61:$B$74,0),MATCH($M$60,$A$61:$H$61,0))*고양시_Modal_split!H$3 * 0.01</f>
        <v>1.7339207443025022E-2</v>
      </c>
      <c r="S64" s="206">
        <f>INDEX($A$61:$H$74,MATCH($L64,$B$61:$B$74,0),MATCH($M$60,$A$61:$H$61,0))*고양시_Modal_split!I$3 * 0.01</f>
        <v>4.8202996691609554</v>
      </c>
      <c r="T64" s="206">
        <f>INDEX($A$61:$H$74,MATCH($L64,$B$61:$B$74,0),MATCH($M$60,$A$61:$H$61,0))*고양시_Modal_split!J$3 * 0.01</f>
        <v>52.780547456568165</v>
      </c>
      <c r="U64" s="206">
        <f>INDEX($A$61:$H$74,MATCH($L64,$B$61:$B$74,0),MATCH($M$60,$A$61:$H$61,0))*고양시_Modal_split!K$3 * 0.01</f>
        <v>0.26008811164537532</v>
      </c>
      <c r="V64" s="206">
        <f>INDEX($A$61:$H$74,MATCH($L64,$B$61:$B$74,0),MATCH($M$60,$A$61:$H$61,0))*고양시_Modal_split!L$3 * 0.01</f>
        <v>5.2364406477935566</v>
      </c>
      <c r="W64" s="206">
        <f>INDEX($A$61:$H$74,MATCH($L64,$B$61:$B$74,0),MATCH($M$60,$A$61:$H$61,0))*고양시_Modal_split!M$3 * 0.01</f>
        <v>0.39880177118957544</v>
      </c>
      <c r="X64" s="206">
        <f>INDEX($A$61:$H$74,MATCH($L64,$B$61:$B$74,0),MATCH($M$60,$A$61:$H$61,0))*고양시_Modal_split!N$3 * 0.01</f>
        <v>0.1733920744302502</v>
      </c>
      <c r="Y64" s="206">
        <f>INDEX($A$61:$H$74,MATCH($L64,$B$61:$B$74,0),MATCH($M$60,$A$61:$H$61,0))*고양시_Modal_split!O$3 * 0.01</f>
        <v>0.31210573397445035</v>
      </c>
      <c r="Z64" s="209">
        <f>INDEX($A$61:$H$74,MATCH($L64,$B$61:$B$74,0),MATCH($M$60,$A$61:$H$61,0))*고양시_Modal_split!P$3 * 0.01</f>
        <v>173.3920744302502</v>
      </c>
      <c r="AA64" s="207">
        <f>INDEX($A$61:$H$74,MATCH($L64,$B$61:$B$74,0),MATCH($AA$60,$A$61:$H$61,0))*고양시_Modal_split!C$3 * 0.01</f>
        <v>3.7752957012806823</v>
      </c>
      <c r="AB64" s="207">
        <f>INDEX($A$61:$H$74,MATCH($L64,$B$61:$B$74,0),MATCH($AA$60,$A$61:$H$61,0))*고양시_Modal_split!D$3 * 0.01</f>
        <v>634.11484582582318</v>
      </c>
      <c r="AC64" s="207">
        <f>INDEX($A$61:$H$74,MATCH($L64,$B$61:$B$74,0),MATCH($AA$60,$A$61:$H$61,0))*고양시_Modal_split!E$3 * 0.01</f>
        <v>76.719401929596728</v>
      </c>
      <c r="AD64" s="207">
        <f>INDEX($A$61:$H$74,MATCH($L64,$B$61:$B$74,0),MATCH($AA$60,$A$61:$H$61,0))*고양시_Modal_split!F$3 * 0.01</f>
        <v>123.64093421694236</v>
      </c>
      <c r="AE64" s="207">
        <f>INDEX($A$61:$H$74,MATCH($L64,$B$61:$B$74,0),MATCH($AA$60,$A$61:$H$61,0))*고양시_Modal_split!G$3 * 0.01</f>
        <v>12.404543018493671</v>
      </c>
      <c r="AF64" s="207">
        <f>INDEX($A$61:$H$74,MATCH($L64,$B$61:$B$74,0),MATCH($AA$60,$A$61:$H$61,0))*고양시_Modal_split!H$3 * 0.01</f>
        <v>0.13483198933145296</v>
      </c>
      <c r="AG64" s="207">
        <f>INDEX($A$61:$H$74,MATCH($L64,$B$61:$B$74,0),MATCH($AA$60,$A$61:$H$61,0))*고양시_Modal_split!I$3 * 0.01</f>
        <v>37.483293034143919</v>
      </c>
      <c r="AH64" s="207">
        <f>INDEX($A$61:$H$74,MATCH($L64,$B$61:$B$74,0),MATCH($AA$60,$A$61:$H$61,0))*고양시_Modal_split!J$3 * 0.01</f>
        <v>410.4285755249428</v>
      </c>
      <c r="AI64" s="207">
        <f>INDEX($A$61:$H$74,MATCH($L64,$B$61:$B$74,0),MATCH($AA$60,$A$61:$H$61,0))*고양시_Modal_split!K$3 * 0.01</f>
        <v>2.0224798399717945</v>
      </c>
      <c r="AJ64" s="207">
        <f>INDEX($A$61:$H$74,MATCH($L64,$B$61:$B$74,0),MATCH($AA$60,$A$61:$H$61,0))*고양시_Modal_split!L$3 * 0.01</f>
        <v>40.719260778098793</v>
      </c>
      <c r="AK64" s="207">
        <f>INDEX($A$61:$H$74,MATCH($L64,$B$61:$B$74,0),MATCH($AA$60,$A$61:$H$61,0))*고양시_Modal_split!M$3 * 0.01</f>
        <v>3.1011357546234177</v>
      </c>
      <c r="AL64" s="207">
        <f>INDEX($A$61:$H$74,MATCH($L64,$B$61:$B$74,0),MATCH($AA$60,$A$61:$H$61,0))*고양시_Modal_split!N$3 * 0.01</f>
        <v>1.3483198933145295</v>
      </c>
      <c r="AM64" s="207">
        <f>INDEX($A$61:$H$74,MATCH($L64,$B$61:$B$74,0),MATCH($AA$60,$A$61:$H$61,0))*고양시_Modal_split!O$3 * 0.01</f>
        <v>2.4269758079661532</v>
      </c>
      <c r="AN64" s="207">
        <f>INDEX($A$61:$H$74,MATCH($L64,$B$61:$B$74,0),MATCH($AA$60,$A$61:$H$61,0))*고양시_Modal_split!P$3 * 0.01</f>
        <v>1348.3198933145297</v>
      </c>
      <c r="AO64" s="303">
        <f>INDEX($A$61:$H$74,MATCH($L64,$B$61:$B$74,0),MATCH($AO$60,$A$61:$H$61,0))*고양시_Modal_split!C$3 * 0.01</f>
        <v>0.16734131501719918</v>
      </c>
      <c r="AP64" s="303">
        <f>INDEX($A$61:$H$74,MATCH($L64,$B$61:$B$74,0),MATCH($AO$60,$A$61:$H$61,0))*고양시_Modal_split!D$3 * 0.01</f>
        <v>28.107364447353135</v>
      </c>
      <c r="AQ64" s="303">
        <f>INDEX($A$61:$H$74,MATCH($L64,$B$61:$B$74,0),MATCH($AO$60,$A$61:$H$61,0))*고양시_Modal_split!E$3 * 0.01</f>
        <v>3.4006145801709402</v>
      </c>
      <c r="AR64" s="303">
        <f>INDEX($A$61:$H$74,MATCH($L64,$B$61:$B$74,0),MATCH($AO$60,$A$61:$H$61,0))*고양시_Modal_split!F$3 * 0.01</f>
        <v>5.480428066813273</v>
      </c>
      <c r="AS64" s="303">
        <f>INDEX($A$61:$H$74,MATCH($L64,$B$61:$B$74,0),MATCH($AO$60,$A$61:$H$61,0))*고양시_Modal_split!G$3 * 0.01</f>
        <v>0.5498357493422259</v>
      </c>
      <c r="AT64" s="303">
        <f>INDEX($A$61:$H$74,MATCH($L64,$B$61:$B$74,0),MATCH($AO$60,$A$61:$H$61,0))*고양시_Modal_split!H$3 * 0.01</f>
        <v>5.9764755363285425E-3</v>
      </c>
      <c r="AU64" s="303">
        <f>INDEX($A$61:$H$74,MATCH($L64,$B$61:$B$74,0),MATCH($AO$60,$A$61:$H$61,0))*고양시_Modal_split!I$3 * 0.01</f>
        <v>1.6614601990993347</v>
      </c>
      <c r="AV64" s="303">
        <f>INDEX($A$61:$H$74,MATCH($L64,$B$61:$B$74,0),MATCH($AO$60,$A$61:$H$61,0))*고양시_Modal_split!J$3 * 0.01</f>
        <v>18.192391532584082</v>
      </c>
      <c r="AW64" s="303">
        <f>INDEX($A$61:$H$74,MATCH($L64,$B$61:$B$74,0),MATCH($AO$60,$A$61:$H$61,0))*고양시_Modal_split!K$3 * 0.01</f>
        <v>8.9647133044928135E-2</v>
      </c>
      <c r="AX64" s="303">
        <f>INDEX($A$61:$H$74,MATCH($L64,$B$61:$B$74,0),MATCH($AO$60,$A$61:$H$61,0))*고양시_Modal_split!L$3 * 0.01</f>
        <v>1.8048956119712198</v>
      </c>
      <c r="AY64" s="303">
        <f>INDEX($A$61:$H$74,MATCH($L64,$B$61:$B$74,0),MATCH($AO$60,$A$61:$H$61,0))*고양시_Modal_split!M$3 * 0.01</f>
        <v>0.13745893733555647</v>
      </c>
      <c r="AZ64" s="303">
        <f>INDEX($A$61:$H$74,MATCH($L64,$B$61:$B$74,0),MATCH($AO$60,$A$61:$H$61,0))*고양시_Modal_split!N$3 * 0.01</f>
        <v>5.9764755363285432E-2</v>
      </c>
      <c r="BA64" s="207">
        <f>INDEX($A$61:$H$74,MATCH($L64,$B$61:$B$74,0),MATCH($AO$60,$A$61:$H$61,0))*고양시_Modal_split!O$3 * 0.01</f>
        <v>0.10757655965391376</v>
      </c>
      <c r="BB64" s="207">
        <f>INDEX($A$61:$H$74,MATCH($L64,$B$61:$B$74,0),MATCH($AO$60,$A$61:$H$61,0))*고양시_Modal_split!P$3 * 0.01</f>
        <v>59.764755363285424</v>
      </c>
      <c r="BC64" s="207">
        <f>INDEX($A$61:$H$74,MATCH($L64,$B$61:$B$74,0),MATCH($BC$60,$A$61:$H$61,0))*고양시_Modal_split!C$3 * 0.01</f>
        <v>4.5380695597884693E-4</v>
      </c>
      <c r="BD64" s="207">
        <f>INDEX($A$61:$H$74,MATCH($L64,$B$61:$B$74,0),MATCH($BC$60,$A$61:$H$61,0))*고양시_Modal_split!D$3 * 0.01</f>
        <v>7.6223361213161325E-2</v>
      </c>
      <c r="BE64" s="207">
        <f>INDEX($A$61:$H$74,MATCH($L64,$B$61:$B$74,0),MATCH($BC$60,$A$61:$H$61,0))*고양시_Modal_split!E$3 * 0.01</f>
        <v>9.2220056411415671E-3</v>
      </c>
      <c r="BF64" s="207">
        <f>INDEX($A$61:$H$74,MATCH($L64,$B$61:$B$74,0),MATCH($BC$60,$A$61:$H$61,0))*고양시_Modal_split!F$3 * 0.01</f>
        <v>1.4862177808307238E-2</v>
      </c>
      <c r="BG64" s="207">
        <f>INDEX($A$61:$H$74,MATCH($L64,$B$61:$B$74,0),MATCH($BC$60,$A$61:$H$61,0))*고양시_Modal_split!G$3 * 0.01</f>
        <v>1.4910799982162113E-3</v>
      </c>
      <c r="BH64" s="207">
        <f>INDEX($A$61:$H$74,MATCH($L64,$B$61:$B$74,0),MATCH($BC$60,$A$61:$H$61,0))*고양시_Modal_split!H$3 * 0.01</f>
        <v>1.6207391284958819E-5</v>
      </c>
      <c r="BI64" s="207">
        <f>INDEX($A$61:$H$74,MATCH($L64,$B$61:$B$74,0),MATCH($BC$60,$A$61:$H$61,0))*고양시_Modal_split!I$3 * 0.01</f>
        <v>4.5056547772185512E-3</v>
      </c>
      <c r="BJ64" s="207">
        <f>INDEX($A$61:$H$74,MATCH($L64,$B$61:$B$74,0),MATCH($BC$60,$A$61:$H$61,0))*고양시_Modal_split!J$3 * 0.01</f>
        <v>4.9335299071414651E-2</v>
      </c>
      <c r="BK64" s="207">
        <f>INDEX($A$61:$H$74,MATCH($L64,$B$61:$B$74,0),MATCH($BC$60,$A$61:$H$61,0))*고양시_Modal_split!K$3 * 0.01</f>
        <v>2.4311086927438229E-4</v>
      </c>
      <c r="BL64" s="207">
        <f>INDEX($A$61:$H$74,MATCH($L64,$B$61:$B$74,0),MATCH($BC$60,$A$61:$H$61,0))*고양시_Modal_split!L$3 * 0.01</f>
        <v>4.894632168057563E-3</v>
      </c>
      <c r="BM64" s="207">
        <f>INDEX($A$61:$H$74,MATCH($L64,$B$61:$B$74,0),MATCH($BC$60,$A$61:$H$61,0))*고양시_Modal_split!M$3 * 0.01</f>
        <v>3.7276999955405282E-4</v>
      </c>
      <c r="BN64" s="207">
        <f>INDEX($A$61:$H$74,MATCH($L64,$B$61:$B$74,0),MATCH($BC$60,$A$61:$H$61,0))*고양시_Modal_split!N$3 * 0.01</f>
        <v>1.620739128495882E-4</v>
      </c>
      <c r="BO64" s="207">
        <f>INDEX($A$61:$H$74,MATCH($L64,$B$61:$B$74,0),MATCH($BC$60,$A$61:$H$61,0))*고양시_Modal_split!O$3 * 0.01</f>
        <v>2.9173304312925876E-4</v>
      </c>
      <c r="BP64" s="207">
        <f>INDEX($A$61:$H$74,MATCH($L64,$B$61:$B$74,0),MATCH($BC$60,$A$61:$H$61,0))*고양시_Modal_split!P$3 * 0.01</f>
        <v>0.16207391284958822</v>
      </c>
      <c r="BQ64" s="207">
        <f>INDEX($A$61:$H$74,MATCH($L64,$B$61:$B$74,0),MATCH($BQ$60,$A$61:$H$61,0))*고양시_Modal_split!C$3 * 0.01</f>
        <v>1.285786375273393E-3</v>
      </c>
      <c r="BR64" s="207">
        <f>INDEX($A$61:$H$74,MATCH($L64,$B$61:$B$74,0),MATCH($BQ$60,$A$61:$H$61,0))*고양시_Modal_split!D$3 * 0.01</f>
        <v>0.21596619010395601</v>
      </c>
      <c r="BS64" s="207">
        <f>INDEX($A$61:$H$74,MATCH($L64,$B$61:$B$74,0),MATCH($BQ$60,$A$61:$H$61,0))*고양시_Modal_split!E$3 * 0.01</f>
        <v>2.6129015983234308E-2</v>
      </c>
      <c r="BT64" s="207">
        <f>INDEX($A$61:$H$74,MATCH($L64,$B$61:$B$74,0),MATCH($BQ$60,$A$61:$H$61,0))*고양시_Modal_split!F$3 * 0.01</f>
        <v>4.2109503790203624E-2</v>
      </c>
      <c r="BU64" s="207">
        <f>INDEX($A$61:$H$74,MATCH($L64,$B$61:$B$74,0),MATCH($BQ$60,$A$61:$H$61,0))*고양시_Modal_split!G$3 * 0.01</f>
        <v>4.2247266616125771E-3</v>
      </c>
      <c r="BV64" s="207">
        <f>INDEX($A$61:$H$74,MATCH($L64,$B$61:$B$74,0),MATCH($BQ$60,$A$61:$H$61,0))*고양시_Modal_split!H$3 * 0.01</f>
        <v>4.5920941974049761E-5</v>
      </c>
      <c r="BW64" s="207">
        <f>INDEX($A$61:$H$74,MATCH($L64,$B$61:$B$74,0),MATCH($BQ$60,$A$61:$H$61,0))*고양시_Modal_split!I$3 * 0.01</f>
        <v>1.276602186878583E-2</v>
      </c>
      <c r="BX64" s="207">
        <f>INDEX($A$61:$H$74,MATCH($L64,$B$61:$B$74,0),MATCH($BQ$60,$A$61:$H$61,0))*고양시_Modal_split!J$3 * 0.01</f>
        <v>0.13978334736900747</v>
      </c>
      <c r="BY64" s="207">
        <f>INDEX($A$61:$H$74,MATCH($L64,$B$61:$B$74,0),MATCH($BQ$60,$A$61:$H$61,0))*고양시_Modal_split!K$3 * 0.01</f>
        <v>6.8881412961074623E-4</v>
      </c>
      <c r="BZ64" s="207">
        <f>INDEX($A$61:$H$74,MATCH($L64,$B$61:$B$74,0),MATCH($BQ$60,$A$61:$H$61,0))*고양시_Modal_split!L$3 * 0.01</f>
        <v>1.3868124476163026E-2</v>
      </c>
      <c r="CA64" s="207">
        <f>INDEX($A$61:$H$74,MATCH($L64,$B$61:$B$74,0),MATCH($BQ$60,$A$61:$H$61,0))*고양시_Modal_split!M$3 * 0.01</f>
        <v>1.0561816654031443E-3</v>
      </c>
      <c r="CB64" s="207">
        <f>INDEX($A$61:$H$74,MATCH($L64,$B$61:$B$74,0),MATCH($BQ$60,$A$61:$H$61,0))*고양시_Modal_split!N$3 * 0.01</f>
        <v>4.592094197404976E-4</v>
      </c>
      <c r="CC64" s="207">
        <f>INDEX($A$61:$H$74,MATCH($L64,$B$61:$B$74,0),MATCH($BQ$60,$A$61:$H$61,0))*고양시_Modal_split!O$3 * 0.01</f>
        <v>8.2657695553289563E-4</v>
      </c>
      <c r="CD64" s="207">
        <f>INDEX($A$61:$H$74,MATCH($L64,$B$61:$B$74,0),MATCH($BQ$60,$A$61:$H$61,0))*고양시_Modal_split!P$3 * 0.01</f>
        <v>0.45920941974049756</v>
      </c>
      <c r="CE64" s="304">
        <f t="shared" si="31"/>
        <v>4.4298744180338341</v>
      </c>
      <c r="CF64" s="304">
        <f t="shared" si="13"/>
        <v>744.06069242904005</v>
      </c>
      <c r="CG64" s="304">
        <f t="shared" si="14"/>
        <v>90.021376566473265</v>
      </c>
      <c r="CH64" s="304">
        <f t="shared" si="15"/>
        <v>145.07838719060808</v>
      </c>
      <c r="CI64" s="304">
        <f t="shared" si="16"/>
        <v>14.555301659254027</v>
      </c>
      <c r="CJ64" s="304">
        <f t="shared" si="17"/>
        <v>0.15820980064406556</v>
      </c>
      <c r="CK64" s="304">
        <f t="shared" si="18"/>
        <v>43.982324579050214</v>
      </c>
      <c r="CL64" s="304">
        <f t="shared" si="19"/>
        <v>481.5906331605355</v>
      </c>
      <c r="CM64" s="304">
        <f t="shared" si="20"/>
        <v>2.373147009660983</v>
      </c>
      <c r="CN64" s="304">
        <f t="shared" si="21"/>
        <v>47.779359794507791</v>
      </c>
      <c r="CO64" s="304">
        <f t="shared" si="22"/>
        <v>3.6388254148135069</v>
      </c>
      <c r="CP64" s="304">
        <f t="shared" si="23"/>
        <v>1.5820980064406551</v>
      </c>
      <c r="CQ64" s="304">
        <f t="shared" si="24"/>
        <v>2.8477764115931792</v>
      </c>
      <c r="CR64" s="304">
        <f t="shared" si="25"/>
        <v>1582.0980064406556</v>
      </c>
      <c r="CS64" s="305">
        <f t="shared" si="32"/>
        <v>0</v>
      </c>
      <c r="CV64" s="265" t="s">
        <v>606</v>
      </c>
      <c r="CW64" s="265" t="s">
        <v>609</v>
      </c>
      <c r="CX64" s="267">
        <f>INDEX($M$60:$Z$74,MATCH($CW64,$L$60:$L$74,0),MATCH(CX$61,$M$61:$Z$61,0))/INDEX(고양시_재차인원!$D$4:$H$35,MATCH("고양시",고양시_재차인원!$B$4:$B$35,0),MATCH($CX$60,고양시_재차인원!$D$4:$H$4,0))</f>
        <v>72.809189825488104</v>
      </c>
      <c r="CY64" s="267">
        <f>INDEX($M$60:$Z$74,MATCH($CW64,$L$60:$L$74,0),MATCH(CY$61,$M$61:$Z$61,0))/INDEX(고양시_재차인원!$K$4:$O$20,MATCH("경기도",고양시_재차인원!$K$4:$K$20,0),MATCH($CY$61,고양시_재차인원!$K$4:$O$4,0))</f>
        <v>6.0226493376259191E-4</v>
      </c>
      <c r="CZ64" s="267">
        <f>INDEX($M$60:$Z$74,MATCH($CW64,$L$60:$L$74,0),MATCH(CZ$61,$M$61:$Z$61,0))/INDEX(고양시_재차인원!$K$4:$O$20,MATCH("경기도",고양시_재차인원!$K$4:$K$20,0),MATCH($CZ$61,고양시_재차인원!$K$4:$O$4,0))</f>
        <v>0.16742965158600054</v>
      </c>
      <c r="DA64" s="267">
        <f>INDEX($M$60:$Z$74,MATCH($CW64,$L$60:$L$74,0),MATCH(DA$61,$M$61:$Z$61,0))/INDEX(고양시_재차인원!$D$4:$H$35,MATCH("고양시",고양시_재차인원!$B$4:$B$35,0),MATCH($CX$60,고양시_재차인원!$D$4:$H$4,0))</f>
        <v>4.6753934355299611</v>
      </c>
      <c r="DB64" s="267">
        <f>INDEX($AA$60:$AN$74,MATCH($CW64,$L$60:$L$74,0),MATCH(DB$61,$AA$61:$AN$61,0))/INDEX(고양시_재차인원!$D$4:$H$35,MATCH("고양시",고양시_재차인원!$B$4:$B$35,0),MATCH($DB$60,고양시_재차인원!$D$4:$H$4,0))</f>
        <v>449.72684101122212</v>
      </c>
      <c r="DC64" s="267">
        <f>INDEX($AA$60:$AN$74,MATCH($CW64,$L$60:$L$74,0),MATCH(DC$61,$AA$61:$AN$61,0))/INDEX(고양시_재차인원!$K$4:$O$20,MATCH("경기도",고양시_재차인원!$K$4:$K$20,0),MATCH($DC$61,고양시_재차인원!$K$4:$O$4,0))</f>
        <v>4.6832924394391443E-3</v>
      </c>
      <c r="DD64" s="267">
        <f>INDEX($AA$60:$AN$74,MATCH($CW64,$L$60:$L$74,0),MATCH(DD$61,$AA$61:$AN$61,0))/INDEX(고양시_재차인원!$K$4:$O$20,MATCH("경기도",고양시_재차인원!$K$4:$K$20,0),MATCH($DD$61,고양시_재차인원!$K$4:$O$4,0))</f>
        <v>1.3019552981640821</v>
      </c>
      <c r="DE64" s="267">
        <f>INDEX($AA$60:$AN$74,MATCH($CW64,$L$60:$L$74,0),MATCH(DE$61,$AA$61:$AN$61,0))/INDEX(고양시_재차인원!$D$4:$H$35,MATCH("고양시",고양시_재차인원!$B$4:$B$35,0),MATCH($DB$60,고양시_재차인원!$D$4:$H$4,0))</f>
        <v>28.878908353261558</v>
      </c>
      <c r="DF64" s="267">
        <f>INDEX($AO$60:$BB$74,MATCH($CW64,$L$60:$L$74,0),MATCH(DF$61,$AO$61:$BB$61,0))/INDEX(고양시_재차인원!$D$4:$H$35,MATCH("고양시",고양시_재차인원!$B$4:$B$35,0),MATCH($DF$60,고양시_재차인원!$D$4:$H$4,0))</f>
        <v>21.621049574887024</v>
      </c>
      <c r="DG64" s="267">
        <f>INDEX($AO$60:$BB$74,MATCH($CW64,$L$60:$L$74,0),MATCH(DG$61,$AO$61:$BB$61,0))/INDEX(고양시_재차인원!$K$4:$O$20,MATCH("경기도",고양시_재차인원!$K$4:$K$20,0),MATCH($DG$61,고양시_재차인원!$K$4:$O$4,0))</f>
        <v>2.0758859104996676E-4</v>
      </c>
      <c r="DH64" s="267">
        <f>INDEX($AO$60:$BB$74,MATCH($CW64,$L$60:$L$74,0),MATCH(DH$61,$AO$61:$BB$61,0))/INDEX(고양시_재차인원!$K$4:$O$20,MATCH("경기도",고양시_재차인원!$K$4:$K$20,0),MATCH($DH$61,고양시_재차인원!$K$4:$O$4,0))</f>
        <v>5.7709628311890755E-2</v>
      </c>
      <c r="DI64" s="267">
        <f>INDEX($AO$60:$BB$74,MATCH($CW64,$L$60:$L$74,0),MATCH(DI$61,$AO$61:$BB$61,0))/INDEX(고양시_재차인원!$D$4:$H$35,MATCH("고양시",고양시_재차인원!$B$4:$B$35,0),MATCH($DF$60,고양시_재차인원!$D$4:$H$4,0))</f>
        <v>1.3883812399778614</v>
      </c>
      <c r="DJ64" s="267">
        <f>INDEX($BC$60:$BP$74,MATCH($CW64,$L$60:$L$74,0),MATCH(DJ$61,$BC$61:$BP$61,0))/INDEX(고양시_재차인원!$D$4:$H$35,MATCH("고양시",고양시_재차인원!$B$4:$B$35,0),MATCH($DJ$60,고양시_재차인원!$D$4:$H$4,0))</f>
        <v>5.6046589127324499E-2</v>
      </c>
      <c r="DK64" s="267">
        <f>INDEX($BC$60:$BP$74,MATCH($CW64,$L$60:$L$74,0),MATCH(DK$61,$BC$61:$BP$61,0))/INDEX(고양시_재차인원!$K$4:$O$20,MATCH("경기도",고양시_재차인원!$K$4:$K$20,0),MATCH($DK$61,고양시_재차인원!$K$4:$O$4,0))</f>
        <v>5.6295211132194576E-7</v>
      </c>
      <c r="DL64" s="267">
        <f>INDEX($BC$60:$BP$74,MATCH($CW64,$L$60:$L$74,0),MATCH(DL$61,$BC$61:$BP$61,0))/INDEX(고양시_재차인원!$K$4:$O$20,MATCH("경기도",고양시_재차인원!$K$4:$K$20,0),MATCH($DL$61,고양시_재차인원!$K$4:$O$4,0))</f>
        <v>1.5650068694750093E-4</v>
      </c>
      <c r="DM64" s="267">
        <f>INDEX($BC$60:$BP$74,MATCH($CW64,$L$60:$L$74,0),MATCH(DM$61,$BC$61:$BP$61,0))/INDEX(고양시_재차인원!$D$4:$H$35,MATCH("고양시",고양시_재차인원!$B$4:$B$35,0),MATCH($DJ$60,고양시_재차인원!$D$4:$H$4,0))</f>
        <v>3.5989942412187961E-3</v>
      </c>
      <c r="DN64" s="267">
        <f>INDEX($BQ$60:$CD$74,MATCH($CW64,$L$60:$L$74,0),MATCH(DN$61,$BQ$61:$CD$61,0))/INDEX(고양시_재차인원!$D$4:$H$35,MATCH("고양시",고양시_재차인원!$B$4:$B$35,0),MATCH($DN$60,고양시_재차인원!$D$4:$H$4,0))</f>
        <v>0.17140173817774287</v>
      </c>
      <c r="DO64" s="267">
        <f>INDEX($BQ$60:$CD$74,MATCH($CW64,$L$60:$L$74,0),MATCH(DO$61,$BQ$61:$CD$61,0))/INDEX(고양시_재차인원!$K$4:$O$20,MATCH("경기도",고양시_재차인원!$K$4:$K$20,0),MATCH($DO$61,고양시_재차인원!$K$4:$O$4,0))</f>
        <v>1.5950309820788386E-6</v>
      </c>
      <c r="DP64" s="267">
        <f>INDEX($BQ$60:$CD$74,MATCH($CW64,$L$60:$L$74,0),MATCH(DP$61,$BQ$61:$CD$61,0))/INDEX(고양시_재차인원!$K$4:$O$20,MATCH("경기도",고양시_재차인원!$K$4:$K$20,0),MATCH($DP$61,고양시_재차인원!$K$4:$O$4,0))</f>
        <v>4.4341861301791703E-4</v>
      </c>
      <c r="DQ64" s="267">
        <f>INDEX($BQ$60:$CD$74,MATCH($CW64,$L$60:$L$74,0),MATCH(DQ$61,$BQ$61:$CD$61,0))/INDEX(고양시_재차인원!$D$4:$H$35,MATCH("고양시",고양시_재차인원!$B$4:$B$35,0),MATCH($DN$60,고양시_재차인원!$D$4:$H$4,0))</f>
        <v>1.1006447996954783E-2</v>
      </c>
      <c r="DR64" s="270">
        <f t="shared" si="33"/>
        <v>544.3845287389023</v>
      </c>
      <c r="DS64" s="270">
        <f t="shared" si="26"/>
        <v>5.4953039473451043E-3</v>
      </c>
      <c r="DT64" s="270">
        <f t="shared" si="27"/>
        <v>1.5276944973619389</v>
      </c>
      <c r="DU64" s="270">
        <f t="shared" si="28"/>
        <v>34.957288471007551</v>
      </c>
      <c r="DW64" s="278" t="s">
        <v>606</v>
      </c>
      <c r="DX64" s="278" t="s">
        <v>609</v>
      </c>
      <c r="DY64" s="281">
        <f t="shared" si="34"/>
        <v>579.34181720990989</v>
      </c>
      <c r="DZ64" s="281">
        <f t="shared" si="35"/>
        <v>1.533189801309284</v>
      </c>
      <c r="EB64" s="278" t="s">
        <v>623</v>
      </c>
      <c r="EC64" s="278" t="s">
        <v>609</v>
      </c>
      <c r="ED64" s="309">
        <f t="shared" si="36"/>
        <v>680.44297523370551</v>
      </c>
      <c r="EE64" s="309">
        <f t="shared" si="29"/>
        <v>1.8007473291417324</v>
      </c>
      <c r="EK64" s="420" t="s">
        <v>623</v>
      </c>
      <c r="EL64" s="420" t="s">
        <v>619</v>
      </c>
      <c r="EM64" s="420" t="s">
        <v>569</v>
      </c>
      <c r="EN64" s="420">
        <v>38657.855799999998</v>
      </c>
      <c r="EO64" s="420">
        <v>1</v>
      </c>
      <c r="EP64" s="421">
        <v>849003</v>
      </c>
      <c r="EQ64" s="422">
        <f t="shared" si="37"/>
        <v>811.41734095429683</v>
      </c>
      <c r="ER64" s="422">
        <f t="shared" si="38"/>
        <v>2.1473623253159255</v>
      </c>
      <c r="ES64">
        <v>0</v>
      </c>
      <c r="EU64" s="306" t="s">
        <v>623</v>
      </c>
      <c r="EV64" s="306" t="s">
        <v>198</v>
      </c>
      <c r="EW64" s="306" t="s">
        <v>569</v>
      </c>
      <c r="EX64" s="306">
        <v>38657.855799999998</v>
      </c>
      <c r="EY64" s="306">
        <v>1</v>
      </c>
      <c r="EZ64" s="307">
        <v>849003</v>
      </c>
      <c r="FA64" s="308">
        <f t="shared" si="39"/>
        <v>811.41734095429683</v>
      </c>
      <c r="FB64" s="308">
        <f t="shared" si="30"/>
        <v>2.1473623253159255</v>
      </c>
      <c r="FD64" s="101"/>
      <c r="FE64" s="101"/>
      <c r="FF64" s="101"/>
      <c r="FG64" s="101"/>
      <c r="FH64" s="101"/>
      <c r="FI64" s="374"/>
      <c r="FJ64" s="404"/>
      <c r="FK64" s="404"/>
    </row>
    <row r="65" spans="1:167">
      <c r="A65" s="205" t="s">
        <v>606</v>
      </c>
      <c r="B65" s="205" t="s">
        <v>610</v>
      </c>
      <c r="C65" s="201">
        <f>$L32*KTDB_TripDistribution_2025!L$12</f>
        <v>176.80749108509545</v>
      </c>
      <c r="D65" s="201">
        <f>$L32*KTDB_TripDistribution_2025!M$12</f>
        <v>1374.8786286824372</v>
      </c>
      <c r="E65" s="201">
        <f>$L32*KTDB_TripDistribution_2025!N$12</f>
        <v>60.94198068636458</v>
      </c>
      <c r="F65" s="201">
        <f>$L32*KTDB_TripDistribution_2025!O$12</f>
        <v>0.16526638830200624</v>
      </c>
      <c r="G65" s="201">
        <f>$L32*KTDB_TripDistribution_2025!P$12</f>
        <v>0.46825476685568201</v>
      </c>
      <c r="H65" s="201">
        <f>$L32*KTDB_TripDistribution_2025!Q$12</f>
        <v>1613.2616216090551</v>
      </c>
      <c r="J65" s="230">
        <f t="shared" si="12"/>
        <v>1613.2616216090548</v>
      </c>
      <c r="K65" s="206" t="s">
        <v>606</v>
      </c>
      <c r="L65" s="206" t="s">
        <v>610</v>
      </c>
      <c r="M65" s="206">
        <f>INDEX($A$61:$H$74,MATCH($L65,$B$61:$B$74,0),MATCH($M$60,$A$61:$H$61,0))*고양시_Modal_split!C$3 * 0.01</f>
        <v>0.49506097503826724</v>
      </c>
      <c r="N65" s="206">
        <f>INDEX($A$61:$H$74,MATCH($L65,$B$61:$B$74,0),MATCH($M$60,$A$61:$H$61,0))*고양시_Modal_split!D$3 * 0.01</f>
        <v>83.152563057320393</v>
      </c>
      <c r="O65" s="206">
        <f>INDEX($A$61:$H$74,MATCH($L65,$B$61:$B$74,0),MATCH($M$60,$A$61:$H$61,0))*고양시_Modal_split!E$3 * 0.01</f>
        <v>10.060346242741931</v>
      </c>
      <c r="P65" s="206">
        <f>INDEX($A$61:$H$74,MATCH($L65,$B$61:$B$74,0),MATCH($M$60,$A$61:$H$61,0))*고양시_Modal_split!F$3 * 0.01</f>
        <v>16.213246932503253</v>
      </c>
      <c r="Q65" s="206">
        <f>INDEX($A$61:$H$74,MATCH($L65,$B$61:$B$74,0),MATCH($M$60,$A$61:$H$61,0))*고양시_Modal_split!G$3 * 0.01</f>
        <v>1.6266289179828781</v>
      </c>
      <c r="R65" s="206">
        <f>INDEX($A$61:$H$74,MATCH($L65,$B$61:$B$74,0),MATCH($M$60,$A$61:$H$61,0))*고양시_Modal_split!H$3 * 0.01</f>
        <v>1.7680749108509548E-2</v>
      </c>
      <c r="S65" s="206">
        <f>INDEX($A$61:$H$74,MATCH($L65,$B$61:$B$74,0),MATCH($M$60,$A$61:$H$61,0))*고양시_Modal_split!I$3 * 0.01</f>
        <v>4.9152482521656529</v>
      </c>
      <c r="T65" s="206">
        <f>INDEX($A$61:$H$74,MATCH($L65,$B$61:$B$74,0),MATCH($M$60,$A$61:$H$61,0))*고양시_Modal_split!J$3 * 0.01</f>
        <v>53.820200286303063</v>
      </c>
      <c r="U65" s="206">
        <f>INDEX($A$61:$H$74,MATCH($L65,$B$61:$B$74,0),MATCH($M$60,$A$61:$H$61,0))*고양시_Modal_split!K$3 * 0.01</f>
        <v>0.26521123662764318</v>
      </c>
      <c r="V65" s="206">
        <f>INDEX($A$61:$H$74,MATCH($L65,$B$61:$B$74,0),MATCH($M$60,$A$61:$H$61,0))*고양시_Modal_split!L$3 * 0.01</f>
        <v>5.3395862307698829</v>
      </c>
      <c r="W65" s="206">
        <f>INDEX($A$61:$H$74,MATCH($L65,$B$61:$B$74,0),MATCH($M$60,$A$61:$H$61,0))*고양시_Modal_split!M$3 * 0.01</f>
        <v>0.40665722949571953</v>
      </c>
      <c r="X65" s="206">
        <f>INDEX($A$61:$H$74,MATCH($L65,$B$61:$B$74,0),MATCH($M$60,$A$61:$H$61,0))*고양시_Modal_split!N$3 * 0.01</f>
        <v>0.17680749108509544</v>
      </c>
      <c r="Y65" s="206">
        <f>INDEX($A$61:$H$74,MATCH($L65,$B$61:$B$74,0),MATCH($M$60,$A$61:$H$61,0))*고양시_Modal_split!O$3 * 0.01</f>
        <v>0.31825348395317177</v>
      </c>
      <c r="Z65" s="209">
        <f>INDEX($A$61:$H$74,MATCH($L65,$B$61:$B$74,0),MATCH($M$60,$A$61:$H$61,0))*고양시_Modal_split!P$3 * 0.01</f>
        <v>176.80749108509548</v>
      </c>
      <c r="AA65" s="207">
        <f>INDEX($A$61:$H$74,MATCH($L65,$B$61:$B$74,0),MATCH($AA$60,$A$61:$H$61,0))*고양시_Modal_split!C$3 * 0.01</f>
        <v>3.8496601603108243</v>
      </c>
      <c r="AB65" s="207">
        <f>INDEX($A$61:$H$74,MATCH($L65,$B$61:$B$74,0),MATCH($AA$60,$A$61:$H$61,0))*고양시_Modal_split!D$3 * 0.01</f>
        <v>646.60541906935021</v>
      </c>
      <c r="AC65" s="207">
        <f>INDEX($A$61:$H$74,MATCH($L65,$B$61:$B$74,0),MATCH($AA$60,$A$61:$H$61,0))*고양시_Modal_split!E$3 * 0.01</f>
        <v>78.230593972030675</v>
      </c>
      <c r="AD65" s="207">
        <f>INDEX($A$61:$H$74,MATCH($L65,$B$61:$B$74,0),MATCH($AA$60,$A$61:$H$61,0))*고양시_Modal_split!F$3 * 0.01</f>
        <v>126.07637025017949</v>
      </c>
      <c r="AE65" s="207">
        <f>INDEX($A$61:$H$74,MATCH($L65,$B$61:$B$74,0),MATCH($AA$60,$A$61:$H$61,0))*고양시_Modal_split!G$3 * 0.01</f>
        <v>12.648883383878422</v>
      </c>
      <c r="AF65" s="207">
        <f>INDEX($A$61:$H$74,MATCH($L65,$B$61:$B$74,0),MATCH($AA$60,$A$61:$H$61,0))*고양시_Modal_split!H$3 * 0.01</f>
        <v>0.13748786286824374</v>
      </c>
      <c r="AG65" s="207">
        <f>INDEX($A$61:$H$74,MATCH($L65,$B$61:$B$74,0),MATCH($AA$60,$A$61:$H$61,0))*고양시_Modal_split!I$3 * 0.01</f>
        <v>38.221625877371757</v>
      </c>
      <c r="AH65" s="207">
        <f>INDEX($A$61:$H$74,MATCH($L65,$B$61:$B$74,0),MATCH($AA$60,$A$61:$H$61,0))*고양시_Modal_split!J$3 * 0.01</f>
        <v>418.51305457093389</v>
      </c>
      <c r="AI65" s="207">
        <f>INDEX($A$61:$H$74,MATCH($L65,$B$61:$B$74,0),MATCH($AA$60,$A$61:$H$61,0))*고양시_Modal_split!K$3 * 0.01</f>
        <v>2.0623179430236558</v>
      </c>
      <c r="AJ65" s="207">
        <f>INDEX($A$61:$H$74,MATCH($L65,$B$61:$B$74,0),MATCH($AA$60,$A$61:$H$61,0))*고양시_Modal_split!L$3 * 0.01</f>
        <v>41.521334586209605</v>
      </c>
      <c r="AK65" s="207">
        <f>INDEX($A$61:$H$74,MATCH($L65,$B$61:$B$74,0),MATCH($AA$60,$A$61:$H$61,0))*고양시_Modal_split!M$3 * 0.01</f>
        <v>3.1622208459696055</v>
      </c>
      <c r="AL65" s="207">
        <f>INDEX($A$61:$H$74,MATCH($L65,$B$61:$B$74,0),MATCH($AA$60,$A$61:$H$61,0))*고양시_Modal_split!N$3 * 0.01</f>
        <v>1.3748786286824373</v>
      </c>
      <c r="AM65" s="207">
        <f>INDEX($A$61:$H$74,MATCH($L65,$B$61:$B$74,0),MATCH($AA$60,$A$61:$H$61,0))*고양시_Modal_split!O$3 * 0.01</f>
        <v>2.4747815316283868</v>
      </c>
      <c r="AN65" s="207">
        <f>INDEX($A$61:$H$74,MATCH($L65,$B$61:$B$74,0),MATCH($AA$60,$A$61:$H$61,0))*고양시_Modal_split!P$3 * 0.01</f>
        <v>1374.8786286824372</v>
      </c>
      <c r="AO65" s="303">
        <f>INDEX($A$61:$H$74,MATCH($L65,$B$61:$B$74,0),MATCH($AO$60,$A$61:$H$61,0))*고양시_Modal_split!C$3 * 0.01</f>
        <v>0.17063754592182082</v>
      </c>
      <c r="AP65" s="303">
        <f>INDEX($A$61:$H$74,MATCH($L65,$B$61:$B$74,0),MATCH($AO$60,$A$61:$H$61,0))*고양시_Modal_split!D$3 * 0.01</f>
        <v>28.661013516797262</v>
      </c>
      <c r="AQ65" s="303">
        <f>INDEX($A$61:$H$74,MATCH($L65,$B$61:$B$74,0),MATCH($AO$60,$A$61:$H$61,0))*고양시_Modal_split!E$3 * 0.01</f>
        <v>3.4675987010541447</v>
      </c>
      <c r="AR65" s="303">
        <f>INDEX($A$61:$H$74,MATCH($L65,$B$61:$B$74,0),MATCH($AO$60,$A$61:$H$61,0))*고양시_Modal_split!F$3 * 0.01</f>
        <v>5.5883796289396326</v>
      </c>
      <c r="AS65" s="303">
        <f>INDEX($A$61:$H$74,MATCH($L65,$B$61:$B$74,0),MATCH($AO$60,$A$61:$H$61,0))*고양시_Modal_split!G$3 * 0.01</f>
        <v>0.5606662223145541</v>
      </c>
      <c r="AT65" s="303">
        <f>INDEX($A$61:$H$74,MATCH($L65,$B$61:$B$74,0),MATCH($AO$60,$A$61:$H$61,0))*고양시_Modal_split!H$3 * 0.01</f>
        <v>6.0941980686364588E-3</v>
      </c>
      <c r="AU65" s="303">
        <f>INDEX($A$61:$H$74,MATCH($L65,$B$61:$B$74,0),MATCH($AO$60,$A$61:$H$61,0))*고양시_Modal_split!I$3 * 0.01</f>
        <v>1.6941870630809355</v>
      </c>
      <c r="AV65" s="303">
        <f>INDEX($A$61:$H$74,MATCH($L65,$B$61:$B$74,0),MATCH($AO$60,$A$61:$H$61,0))*고양시_Modal_split!J$3 * 0.01</f>
        <v>18.55073892092938</v>
      </c>
      <c r="AW65" s="303">
        <f>INDEX($A$61:$H$74,MATCH($L65,$B$61:$B$74,0),MATCH($AO$60,$A$61:$H$61,0))*고양시_Modal_split!K$3 * 0.01</f>
        <v>9.1412971029546861E-2</v>
      </c>
      <c r="AX65" s="303">
        <f>INDEX($A$61:$H$74,MATCH($L65,$B$61:$B$74,0),MATCH($AO$60,$A$61:$H$61,0))*고양시_Modal_split!L$3 * 0.01</f>
        <v>1.8404478167282106</v>
      </c>
      <c r="AY65" s="303">
        <f>INDEX($A$61:$H$74,MATCH($L65,$B$61:$B$74,0),MATCH($AO$60,$A$61:$H$61,0))*고양시_Modal_split!M$3 * 0.01</f>
        <v>0.14016655557863852</v>
      </c>
      <c r="AZ65" s="303">
        <f>INDEX($A$61:$H$74,MATCH($L65,$B$61:$B$74,0),MATCH($AO$60,$A$61:$H$61,0))*고양시_Modal_split!N$3 * 0.01</f>
        <v>6.094198068636459E-2</v>
      </c>
      <c r="BA65" s="207">
        <f>INDEX($A$61:$H$74,MATCH($L65,$B$61:$B$74,0),MATCH($AO$60,$A$61:$H$61,0))*고양시_Modal_split!O$3 * 0.01</f>
        <v>0.10969556523545623</v>
      </c>
      <c r="BB65" s="207">
        <f>INDEX($A$61:$H$74,MATCH($L65,$B$61:$B$74,0),MATCH($AO$60,$A$61:$H$61,0))*고양시_Modal_split!P$3 * 0.01</f>
        <v>60.94198068636458</v>
      </c>
      <c r="BC65" s="207">
        <f>INDEX($A$61:$H$74,MATCH($L65,$B$61:$B$74,0),MATCH($BC$60,$A$61:$H$61,0))*고양시_Modal_split!C$3 * 0.01</f>
        <v>4.6274588724561745E-4</v>
      </c>
      <c r="BD65" s="207">
        <f>INDEX($A$61:$H$74,MATCH($L65,$B$61:$B$74,0),MATCH($BC$60,$A$61:$H$61,0))*고양시_Modal_split!D$3 * 0.01</f>
        <v>7.7724782418433544E-2</v>
      </c>
      <c r="BE65" s="207">
        <f>INDEX($A$61:$H$74,MATCH($L65,$B$61:$B$74,0),MATCH($BC$60,$A$61:$H$61,0))*고양시_Modal_split!E$3 * 0.01</f>
        <v>9.4036574943841544E-3</v>
      </c>
      <c r="BF65" s="207">
        <f>INDEX($A$61:$H$74,MATCH($L65,$B$61:$B$74,0),MATCH($BC$60,$A$61:$H$61,0))*고양시_Modal_split!F$3 * 0.01</f>
        <v>1.5154927807293972E-2</v>
      </c>
      <c r="BG65" s="207">
        <f>INDEX($A$61:$H$74,MATCH($L65,$B$61:$B$74,0),MATCH($BC$60,$A$61:$H$61,0))*고양시_Modal_split!G$3 * 0.01</f>
        <v>1.5204507723784572E-3</v>
      </c>
      <c r="BH65" s="207">
        <f>INDEX($A$61:$H$74,MATCH($L65,$B$61:$B$74,0),MATCH($BC$60,$A$61:$H$61,0))*고양시_Modal_split!H$3 * 0.01</f>
        <v>1.6526638830200623E-5</v>
      </c>
      <c r="BI65" s="207">
        <f>INDEX($A$61:$H$74,MATCH($L65,$B$61:$B$74,0),MATCH($BC$60,$A$61:$H$61,0))*고양시_Modal_split!I$3 * 0.01</f>
        <v>4.5944055947957727E-3</v>
      </c>
      <c r="BJ65" s="207">
        <f>INDEX($A$61:$H$74,MATCH($L65,$B$61:$B$74,0),MATCH($BC$60,$A$61:$H$61,0))*고양시_Modal_split!J$3 * 0.01</f>
        <v>5.0307088599130703E-2</v>
      </c>
      <c r="BK65" s="207">
        <f>INDEX($A$61:$H$74,MATCH($L65,$B$61:$B$74,0),MATCH($BC$60,$A$61:$H$61,0))*고양시_Modal_split!K$3 * 0.01</f>
        <v>2.4789958245300937E-4</v>
      </c>
      <c r="BL65" s="207">
        <f>INDEX($A$61:$H$74,MATCH($L65,$B$61:$B$74,0),MATCH($BC$60,$A$61:$H$61,0))*고양시_Modal_split!L$3 * 0.01</f>
        <v>4.9910449267205883E-3</v>
      </c>
      <c r="BM65" s="207">
        <f>INDEX($A$61:$H$74,MATCH($L65,$B$61:$B$74,0),MATCH($BC$60,$A$61:$H$61,0))*고양시_Modal_split!M$3 * 0.01</f>
        <v>3.801126930946143E-4</v>
      </c>
      <c r="BN65" s="207">
        <f>INDEX($A$61:$H$74,MATCH($L65,$B$61:$B$74,0),MATCH($BC$60,$A$61:$H$61,0))*고양시_Modal_split!N$3 * 0.01</f>
        <v>1.6526638830200623E-4</v>
      </c>
      <c r="BO65" s="207">
        <f>INDEX($A$61:$H$74,MATCH($L65,$B$61:$B$74,0),MATCH($BC$60,$A$61:$H$61,0))*고양시_Modal_split!O$3 * 0.01</f>
        <v>2.9747949894361121E-4</v>
      </c>
      <c r="BP65" s="207">
        <f>INDEX($A$61:$H$74,MATCH($L65,$B$61:$B$74,0),MATCH($BC$60,$A$61:$H$61,0))*고양시_Modal_split!P$3 * 0.01</f>
        <v>0.16526638830200624</v>
      </c>
      <c r="BQ65" s="207">
        <f>INDEX($A$61:$H$74,MATCH($L65,$B$61:$B$74,0),MATCH($BQ$60,$A$61:$H$61,0))*고양시_Modal_split!C$3 * 0.01</f>
        <v>1.3111133471959094E-3</v>
      </c>
      <c r="BR65" s="207">
        <f>INDEX($A$61:$H$74,MATCH($L65,$B$61:$B$74,0),MATCH($BQ$60,$A$61:$H$61,0))*고양시_Modal_split!D$3 * 0.01</f>
        <v>0.22022021685222726</v>
      </c>
      <c r="BS65" s="207">
        <f>INDEX($A$61:$H$74,MATCH($L65,$B$61:$B$74,0),MATCH($BQ$60,$A$61:$H$61,0))*고양시_Modal_split!E$3 * 0.01</f>
        <v>2.6643696234088306E-2</v>
      </c>
      <c r="BT65" s="207">
        <f>INDEX($A$61:$H$74,MATCH($L65,$B$61:$B$74,0),MATCH($BQ$60,$A$61:$H$61,0))*고양시_Modal_split!F$3 * 0.01</f>
        <v>4.2938962120666044E-2</v>
      </c>
      <c r="BU65" s="207">
        <f>INDEX($A$61:$H$74,MATCH($L65,$B$61:$B$74,0),MATCH($BQ$60,$A$61:$H$61,0))*고양시_Modal_split!G$3 * 0.01</f>
        <v>4.3079438550722741E-3</v>
      </c>
      <c r="BV65" s="207">
        <f>INDEX($A$61:$H$74,MATCH($L65,$B$61:$B$74,0),MATCH($BQ$60,$A$61:$H$61,0))*고양시_Modal_split!H$3 * 0.01</f>
        <v>4.6825476685568208E-5</v>
      </c>
      <c r="BW65" s="207">
        <f>INDEX($A$61:$H$74,MATCH($L65,$B$61:$B$74,0),MATCH($BQ$60,$A$61:$H$61,0))*고양시_Modal_split!I$3 * 0.01</f>
        <v>1.3017482518587959E-2</v>
      </c>
      <c r="BX65" s="207">
        <f>INDEX($A$61:$H$74,MATCH($L65,$B$61:$B$74,0),MATCH($BQ$60,$A$61:$H$61,0))*고양시_Modal_split!J$3 * 0.01</f>
        <v>0.1425367510308696</v>
      </c>
      <c r="BY65" s="207">
        <f>INDEX($A$61:$H$74,MATCH($L65,$B$61:$B$74,0),MATCH($BQ$60,$A$61:$H$61,0))*고양시_Modal_split!K$3 * 0.01</f>
        <v>7.0238215028352302E-4</v>
      </c>
      <c r="BZ65" s="207">
        <f>INDEX($A$61:$H$74,MATCH($L65,$B$61:$B$74,0),MATCH($BQ$60,$A$61:$H$61,0))*고양시_Modal_split!L$3 * 0.01</f>
        <v>1.4141293959041597E-2</v>
      </c>
      <c r="CA65" s="207">
        <f>INDEX($A$61:$H$74,MATCH($L65,$B$61:$B$74,0),MATCH($BQ$60,$A$61:$H$61,0))*고양시_Modal_split!M$3 * 0.01</f>
        <v>1.0769859637680685E-3</v>
      </c>
      <c r="CB65" s="207">
        <f>INDEX($A$61:$H$74,MATCH($L65,$B$61:$B$74,0),MATCH($BQ$60,$A$61:$H$61,0))*고양시_Modal_split!N$3 * 0.01</f>
        <v>4.6825476685568207E-4</v>
      </c>
      <c r="CC65" s="207">
        <f>INDEX($A$61:$H$74,MATCH($L65,$B$61:$B$74,0),MATCH($BQ$60,$A$61:$H$61,0))*고양시_Modal_split!O$3 * 0.01</f>
        <v>8.4285858034022763E-4</v>
      </c>
      <c r="CD65" s="207">
        <f>INDEX($A$61:$H$74,MATCH($L65,$B$61:$B$74,0),MATCH($BQ$60,$A$61:$H$61,0))*고양시_Modal_split!P$3 * 0.01</f>
        <v>0.46825476685568207</v>
      </c>
      <c r="CE65" s="304">
        <f t="shared" si="31"/>
        <v>4.5171325405053544</v>
      </c>
      <c r="CF65" s="304">
        <f t="shared" si="13"/>
        <v>758.71694064273856</v>
      </c>
      <c r="CG65" s="304">
        <f t="shared" si="14"/>
        <v>91.794586269555225</v>
      </c>
      <c r="CH65" s="304">
        <f t="shared" si="15"/>
        <v>147.93609070155034</v>
      </c>
      <c r="CI65" s="304">
        <f t="shared" si="16"/>
        <v>14.842006918803305</v>
      </c>
      <c r="CJ65" s="304">
        <f t="shared" si="17"/>
        <v>0.16132616216090553</v>
      </c>
      <c r="CK65" s="304">
        <f t="shared" si="18"/>
        <v>44.848673080731729</v>
      </c>
      <c r="CL65" s="304">
        <f t="shared" si="19"/>
        <v>491.0768376177964</v>
      </c>
      <c r="CM65" s="304">
        <f t="shared" si="20"/>
        <v>2.4198924324135822</v>
      </c>
      <c r="CN65" s="304">
        <f t="shared" si="21"/>
        <v>48.720500972593456</v>
      </c>
      <c r="CO65" s="304">
        <f t="shared" si="22"/>
        <v>3.7105017297008263</v>
      </c>
      <c r="CP65" s="304">
        <f t="shared" si="23"/>
        <v>1.6132616216090552</v>
      </c>
      <c r="CQ65" s="304">
        <f t="shared" si="24"/>
        <v>2.9038709188962981</v>
      </c>
      <c r="CR65" s="304">
        <f t="shared" si="25"/>
        <v>1613.2616216090548</v>
      </c>
      <c r="CS65" s="305">
        <f t="shared" si="32"/>
        <v>0</v>
      </c>
      <c r="CV65" s="265" t="s">
        <v>606</v>
      </c>
      <c r="CW65" s="265" t="s">
        <v>610</v>
      </c>
      <c r="CX65" s="267">
        <f>INDEX($M$60:$Z$74,MATCH($CW65,$L$60:$L$74,0),MATCH(CX$61,$M$61:$Z$61,0))/INDEX(고양시_재차인원!$D$4:$H$35,MATCH("고양시",고양시_재차인원!$B$4:$B$35,0),MATCH($CX$60,고양시_재차인원!$D$4:$H$4,0))</f>
        <v>74.243359872607485</v>
      </c>
      <c r="CY65" s="267">
        <f>INDEX($M$60:$Z$74,MATCH($CW65,$L$60:$L$74,0),MATCH(CY$61,$M$61:$Z$61,0))/INDEX(고양시_재차인원!$K$4:$O$20,MATCH("경기도",고양시_재차인원!$K$4:$K$20,0),MATCH($CY$61,고양시_재차인원!$K$4:$O$4,0))</f>
        <v>6.1412813853801832E-4</v>
      </c>
      <c r="CZ65" s="267">
        <f>INDEX($M$60:$Z$74,MATCH($CW65,$L$60:$L$74,0),MATCH(CZ$61,$M$61:$Z$61,0))/INDEX(고양시_재차인원!$K$4:$O$20,MATCH("경기도",고양시_재차인원!$K$4:$K$20,0),MATCH($CZ$61,고양시_재차인원!$K$4:$O$4,0))</f>
        <v>0.17072762251356904</v>
      </c>
      <c r="DA65" s="267">
        <f>INDEX($M$60:$Z$74,MATCH($CW65,$L$60:$L$74,0),MATCH(DA$61,$M$61:$Z$61,0))/INDEX(고양시_재차인원!$D$4:$H$35,MATCH("고양시",고양시_재차인원!$B$4:$B$35,0),MATCH($CX$60,고양시_재차인원!$D$4:$H$4,0))</f>
        <v>4.7674877060445375</v>
      </c>
      <c r="DB65" s="267">
        <f>INDEX($AA$60:$AN$74,MATCH($CW65,$L$60:$L$74,0),MATCH(DB$61,$AA$61:$AN$61,0))/INDEX(고양시_재차인원!$D$4:$H$35,MATCH("고양시",고양시_재차인원!$B$4:$B$35,0),MATCH($DB$60,고양시_재차인원!$D$4:$H$4,0))</f>
        <v>458.58540359528388</v>
      </c>
      <c r="DC65" s="267">
        <f>INDEX($AA$60:$AN$74,MATCH($CW65,$L$60:$L$74,0),MATCH(DC$61,$AA$61:$AN$61,0))/INDEX(고양시_재차인원!$K$4:$O$20,MATCH("경기도",고양시_재차인원!$K$4:$K$20,0),MATCH($DC$61,고양시_재차인원!$K$4:$O$4,0))</f>
        <v>4.7755423017799151E-3</v>
      </c>
      <c r="DD65" s="267">
        <f>INDEX($AA$60:$AN$74,MATCH($CW65,$L$60:$L$74,0),MATCH(DD$61,$AA$61:$AN$61,0))/INDEX(고양시_재차인원!$K$4:$O$20,MATCH("경기도",고양시_재차인원!$K$4:$K$20,0),MATCH($DD$61,고양시_재차인원!$K$4:$O$4,0))</f>
        <v>1.3276007598948163</v>
      </c>
      <c r="DE65" s="267">
        <f>INDEX($AA$60:$AN$74,MATCH($CW65,$L$60:$L$74,0),MATCH(DE$61,$AA$61:$AN$61,0))/INDEX(고양시_재차인원!$D$4:$H$35,MATCH("고양시",고양시_재차인원!$B$4:$B$35,0),MATCH($DB$60,고양시_재차인원!$D$4:$H$4,0))</f>
        <v>29.447755025680571</v>
      </c>
      <c r="DF65" s="267">
        <f>INDEX($AO$60:$BB$74,MATCH($CW65,$L$60:$L$74,0),MATCH(DF$61,$AO$61:$BB$61,0))/INDEX(고양시_재차인원!$D$4:$H$35,MATCH("고양시",고양시_재차인원!$B$4:$B$35,0),MATCH($DF$60,고양시_재차인원!$D$4:$H$4,0))</f>
        <v>22.046933474459433</v>
      </c>
      <c r="DG65" s="267">
        <f>INDEX($AO$60:$BB$74,MATCH($CW65,$L$60:$L$74,0),MATCH(DG$61,$AO$61:$BB$61,0))/INDEX(고양시_재차인원!$K$4:$O$20,MATCH("경기도",고양시_재차인원!$K$4:$K$20,0),MATCH($DG$61,고양시_재차인원!$K$4:$O$4,0))</f>
        <v>2.1167759877167277E-4</v>
      </c>
      <c r="DH65" s="267">
        <f>INDEX($AO$60:$BB$74,MATCH($CW65,$L$60:$L$74,0),MATCH(DH$61,$AO$61:$BB$61,0))/INDEX(고양시_재차인원!$K$4:$O$20,MATCH("경기도",고양시_재차인원!$K$4:$K$20,0),MATCH($DH$61,고양시_재차인원!$K$4:$O$4,0))</f>
        <v>5.8846372458525024E-2</v>
      </c>
      <c r="DI65" s="267">
        <f>INDEX($AO$60:$BB$74,MATCH($CW65,$L$60:$L$74,0),MATCH(DI$61,$AO$61:$BB$61,0))/INDEX(고양시_재차인원!$D$4:$H$35,MATCH("고양시",고양시_재차인원!$B$4:$B$35,0),MATCH($DF$60,고양시_재차인원!$D$4:$H$4,0))</f>
        <v>1.4157290897909312</v>
      </c>
      <c r="DJ65" s="267">
        <f>INDEX($BC$60:$BP$74,MATCH($CW65,$L$60:$L$74,0),MATCH(DJ$61,$BC$61:$BP$61,0))/INDEX(고양시_재차인원!$D$4:$H$35,MATCH("고양시",고양시_재차인원!$B$4:$B$35,0),MATCH($DJ$60,고양시_재차인원!$D$4:$H$4,0))</f>
        <v>5.7150575307671717E-2</v>
      </c>
      <c r="DK65" s="267">
        <f>INDEX($BC$60:$BP$74,MATCH($CW65,$L$60:$L$74,0),MATCH(DK$61,$BC$61:$BP$61,0))/INDEX(고양시_재차인원!$K$4:$O$20,MATCH("경기도",고양시_재차인원!$K$4:$K$20,0),MATCH($DK$61,고양시_재차인원!$K$4:$O$4,0))</f>
        <v>5.740409458214874E-7</v>
      </c>
      <c r="DL65" s="267">
        <f>INDEX($BC$60:$BP$74,MATCH($CW65,$L$60:$L$74,0),MATCH(DL$61,$BC$61:$BP$61,0))/INDEX(고양시_재차인원!$K$4:$O$20,MATCH("경기도",고양시_재차인원!$K$4:$K$20,0),MATCH($DL$61,고양시_재차인원!$K$4:$O$4,0))</f>
        <v>1.5958338293837348E-4</v>
      </c>
      <c r="DM65" s="267">
        <f>INDEX($BC$60:$BP$74,MATCH($CW65,$L$60:$L$74,0),MATCH(DM$61,$BC$61:$BP$61,0))/INDEX(고양시_재차인원!$D$4:$H$35,MATCH("고양시",고양시_재차인원!$B$4:$B$35,0),MATCH($DJ$60,고양시_재차인원!$D$4:$H$4,0))</f>
        <v>3.6698859755298443E-3</v>
      </c>
      <c r="DN65" s="267">
        <f>INDEX($BQ$60:$CD$74,MATCH($CW65,$L$60:$L$74,0),MATCH(DN$61,$BQ$61:$CD$61,0))/INDEX(고양시_재차인원!$D$4:$H$35,MATCH("고양시",고양시_재차인원!$B$4:$B$35,0),MATCH($DN$60,고양시_재차인원!$D$4:$H$4,0))</f>
        <v>0.17477794988272005</v>
      </c>
      <c r="DO65" s="267">
        <f>INDEX($BQ$60:$CD$74,MATCH($CW65,$L$60:$L$74,0),MATCH(DO$61,$BQ$61:$CD$61,0))/INDEX(고양시_재차인원!$K$4:$O$20,MATCH("경기도",고양시_재차인원!$K$4:$K$20,0),MATCH($DO$61,고양시_재차인원!$K$4:$O$4,0))</f>
        <v>1.6264493464942067E-6</v>
      </c>
      <c r="DP65" s="267">
        <f>INDEX($BQ$60:$CD$74,MATCH($CW65,$L$60:$L$74,0),MATCH(DP$61,$BQ$61:$CD$61,0))/INDEX(고양시_재차인원!$K$4:$O$20,MATCH("경기도",고양시_재차인원!$K$4:$K$20,0),MATCH($DP$61,고양시_재차인원!$K$4:$O$4,0))</f>
        <v>4.5215291832538935E-4</v>
      </c>
      <c r="DQ65" s="267">
        <f>INDEX($BQ$60:$CD$74,MATCH($CW65,$L$60:$L$74,0),MATCH(DQ$61,$BQ$61:$CD$61,0))/INDEX(고양시_재차인원!$D$4:$H$35,MATCH("고양시",고양시_재차인원!$B$4:$B$35,0),MATCH($DN$60,고양시_재차인원!$D$4:$H$4,0))</f>
        <v>1.1223249173842537E-2</v>
      </c>
      <c r="DR65" s="270">
        <f t="shared" si="33"/>
        <v>555.1076254675412</v>
      </c>
      <c r="DS65" s="270">
        <f t="shared" si="26"/>
        <v>5.603548529381921E-3</v>
      </c>
      <c r="DT65" s="270">
        <f t="shared" si="27"/>
        <v>1.5577864911681742</v>
      </c>
      <c r="DU65" s="270">
        <f t="shared" si="28"/>
        <v>35.64586495666542</v>
      </c>
      <c r="DW65" s="278" t="s">
        <v>606</v>
      </c>
      <c r="DX65" s="278" t="s">
        <v>610</v>
      </c>
      <c r="DY65" s="281">
        <f t="shared" si="34"/>
        <v>590.75349042420657</v>
      </c>
      <c r="DZ65" s="281">
        <f t="shared" si="35"/>
        <v>1.5633900396975562</v>
      </c>
      <c r="EB65" s="278" t="s">
        <v>623</v>
      </c>
      <c r="EC65" s="278" t="s">
        <v>610</v>
      </c>
      <c r="ED65" s="309">
        <f t="shared" si="36"/>
        <v>693.73107760811263</v>
      </c>
      <c r="EE65" s="309">
        <f t="shared" si="29"/>
        <v>1.8359134131943411</v>
      </c>
      <c r="EK65" s="420" t="s">
        <v>623</v>
      </c>
      <c r="EL65" s="420" t="s">
        <v>620</v>
      </c>
      <c r="EM65" s="420" t="s">
        <v>76</v>
      </c>
      <c r="EN65" s="420">
        <v>38408.5</v>
      </c>
      <c r="EO65" s="420">
        <v>1</v>
      </c>
      <c r="EP65" s="421">
        <v>849004</v>
      </c>
      <c r="EQ65" s="422">
        <f t="shared" si="37"/>
        <v>806.53569262228871</v>
      </c>
      <c r="ER65" s="422">
        <f t="shared" si="38"/>
        <v>2.1344433658797533</v>
      </c>
      <c r="ES65">
        <v>0</v>
      </c>
      <c r="EU65" s="306" t="s">
        <v>623</v>
      </c>
      <c r="EV65" s="306" t="s">
        <v>199</v>
      </c>
      <c r="EW65" s="306" t="s">
        <v>76</v>
      </c>
      <c r="EX65" s="306">
        <v>38408.5</v>
      </c>
      <c r="EY65" s="306">
        <v>1</v>
      </c>
      <c r="EZ65" s="307">
        <v>849004</v>
      </c>
      <c r="FA65" s="308">
        <f t="shared" si="39"/>
        <v>806.53569262228871</v>
      </c>
      <c r="FB65" s="308">
        <f t="shared" si="30"/>
        <v>2.1344433658797533</v>
      </c>
      <c r="FD65" s="101"/>
      <c r="FE65" s="101"/>
      <c r="FF65" s="101"/>
      <c r="FG65" s="101"/>
      <c r="FH65" s="101"/>
      <c r="FI65" s="374"/>
      <c r="FJ65" s="404"/>
      <c r="FK65" s="404"/>
    </row>
    <row r="66" spans="1:167">
      <c r="A66" s="205" t="s">
        <v>12</v>
      </c>
      <c r="B66" s="205" t="s">
        <v>12</v>
      </c>
      <c r="C66" s="201">
        <f>$L33*KTDB_TripDistribution_2025!L$12</f>
        <v>21.922535788401294</v>
      </c>
      <c r="D66" s="201">
        <f>$L33*KTDB_TripDistribution_2025!M$12</f>
        <v>170.47256175074838</v>
      </c>
      <c r="E66" s="201">
        <f>$L33*KTDB_TripDistribution_2025!N$12</f>
        <v>7.5562564935095713</v>
      </c>
      <c r="F66" s="201">
        <f>$L33*KTDB_TripDistribution_2025!O$12</f>
        <v>2.0491543033246368E-2</v>
      </c>
      <c r="G66" s="201">
        <f>$L33*KTDB_TripDistribution_2025!P$12</f>
        <v>5.8059371927531092E-2</v>
      </c>
      <c r="H66" s="201">
        <f>$L33*KTDB_TripDistribution_2025!Q$12</f>
        <v>200.02990494762003</v>
      </c>
      <c r="J66" s="230">
        <f t="shared" si="12"/>
        <v>200.02990494762003</v>
      </c>
      <c r="K66" s="206" t="s">
        <v>12</v>
      </c>
      <c r="L66" s="206" t="s">
        <v>12</v>
      </c>
      <c r="M66" s="206">
        <f>INDEX($A$61:$H$74,MATCH($L66,$B$61:$B$74,0),MATCH($M$60,$A$61:$H$61,0))*고양시_Modal_split!C$3 * 0.01</f>
        <v>6.1383100207523626E-2</v>
      </c>
      <c r="N66" s="206">
        <f>INDEX($A$61:$H$74,MATCH($L66,$B$61:$B$74,0),MATCH($M$60,$A$61:$H$61,0))*고양시_Modal_split!D$3 * 0.01</f>
        <v>10.310168581285129</v>
      </c>
      <c r="O66" s="206">
        <f>INDEX($A$61:$H$74,MATCH($L66,$B$61:$B$74,0),MATCH($M$60,$A$61:$H$61,0))*고양시_Modal_split!E$3 * 0.01</f>
        <v>1.2473922863600337</v>
      </c>
      <c r="P66" s="206">
        <f>INDEX($A$61:$H$74,MATCH($L66,$B$61:$B$74,0),MATCH($M$60,$A$61:$H$61,0))*고양시_Modal_split!F$3 * 0.01</f>
        <v>2.0102965317963988</v>
      </c>
      <c r="Q66" s="206">
        <f>INDEX($A$61:$H$74,MATCH($L66,$B$61:$B$74,0),MATCH($M$60,$A$61:$H$61,0))*고양시_Modal_split!G$3 * 0.01</f>
        <v>0.20168732925329189</v>
      </c>
      <c r="R66" s="206">
        <f>INDEX($A$61:$H$74,MATCH($L66,$B$61:$B$74,0),MATCH($M$60,$A$61:$H$61,0))*고양시_Modal_split!H$3 * 0.01</f>
        <v>2.1922535788401298E-3</v>
      </c>
      <c r="S66" s="206">
        <f>INDEX($A$61:$H$74,MATCH($L66,$B$61:$B$74,0),MATCH($M$60,$A$61:$H$61,0))*고양시_Modal_split!I$3 * 0.01</f>
        <v>0.60944649491755587</v>
      </c>
      <c r="T66" s="206">
        <f>INDEX($A$61:$H$74,MATCH($L66,$B$61:$B$74,0),MATCH($M$60,$A$61:$H$61,0))*고양시_Modal_split!J$3 * 0.01</f>
        <v>6.673219893989355</v>
      </c>
      <c r="U66" s="206">
        <f>INDEX($A$61:$H$74,MATCH($L66,$B$61:$B$74,0),MATCH($M$60,$A$61:$H$61,0))*고양시_Modal_split!K$3 * 0.01</f>
        <v>3.2883803682601943E-2</v>
      </c>
      <c r="V66" s="206">
        <f>INDEX($A$61:$H$74,MATCH($L66,$B$61:$B$74,0),MATCH($M$60,$A$61:$H$61,0))*고양시_Modal_split!L$3 * 0.01</f>
        <v>0.66206058080971919</v>
      </c>
      <c r="W66" s="206">
        <f>INDEX($A$61:$H$74,MATCH($L66,$B$61:$B$74,0),MATCH($M$60,$A$61:$H$61,0))*고양시_Modal_split!M$3 * 0.01</f>
        <v>5.0421832313322971E-2</v>
      </c>
      <c r="X66" s="206">
        <f>INDEX($A$61:$H$74,MATCH($L66,$B$61:$B$74,0),MATCH($M$60,$A$61:$H$61,0))*고양시_Modal_split!N$3 * 0.01</f>
        <v>2.1922535788401296E-2</v>
      </c>
      <c r="Y66" s="206">
        <f>INDEX($A$61:$H$74,MATCH($L66,$B$61:$B$74,0),MATCH($M$60,$A$61:$H$61,0))*고양시_Modal_split!O$3 * 0.01</f>
        <v>3.9460564419122331E-2</v>
      </c>
      <c r="Z66" s="209">
        <f>INDEX($A$61:$H$74,MATCH($L66,$B$61:$B$74,0),MATCH($M$60,$A$61:$H$61,0))*고양시_Modal_split!P$3 * 0.01</f>
        <v>21.922535788401298</v>
      </c>
      <c r="AA66" s="207">
        <f>INDEX($A$61:$H$74,MATCH($L66,$B$61:$B$74,0),MATCH($AA$60,$A$61:$H$61,0))*고양시_Modal_split!C$3 * 0.01</f>
        <v>0.47732317290209547</v>
      </c>
      <c r="AB66" s="207">
        <f>INDEX($A$61:$H$74,MATCH($L66,$B$61:$B$74,0),MATCH($AA$60,$A$61:$H$61,0))*고양시_Modal_split!D$3 * 0.01</f>
        <v>80.173245791376971</v>
      </c>
      <c r="AC66" s="207">
        <f>INDEX($A$61:$H$74,MATCH($L66,$B$61:$B$74,0),MATCH($AA$60,$A$61:$H$61,0))*고양시_Modal_split!E$3 * 0.01</f>
        <v>9.699888763617583</v>
      </c>
      <c r="AD66" s="207">
        <f>INDEX($A$61:$H$74,MATCH($L66,$B$61:$B$74,0),MATCH($AA$60,$A$61:$H$61,0))*고양시_Modal_split!F$3 * 0.01</f>
        <v>15.632333912543627</v>
      </c>
      <c r="AE66" s="207">
        <f>INDEX($A$61:$H$74,MATCH($L66,$B$61:$B$74,0),MATCH($AA$60,$A$61:$H$61,0))*고양시_Modal_split!G$3 * 0.01</f>
        <v>1.568347568106885</v>
      </c>
      <c r="AF66" s="207">
        <f>INDEX($A$61:$H$74,MATCH($L66,$B$61:$B$74,0),MATCH($AA$60,$A$61:$H$61,0))*고양시_Modal_split!H$3 * 0.01</f>
        <v>1.704725617507484E-2</v>
      </c>
      <c r="AG66" s="207">
        <f>INDEX($A$61:$H$74,MATCH($L66,$B$61:$B$74,0),MATCH($AA$60,$A$61:$H$61,0))*고양시_Modal_split!I$3 * 0.01</f>
        <v>4.7391372166708052</v>
      </c>
      <c r="AH66" s="207">
        <f>INDEX($A$61:$H$74,MATCH($L66,$B$61:$B$74,0),MATCH($AA$60,$A$61:$H$61,0))*고양시_Modal_split!J$3 * 0.01</f>
        <v>51.891847796927813</v>
      </c>
      <c r="AI66" s="207">
        <f>INDEX($A$61:$H$74,MATCH($L66,$B$61:$B$74,0),MATCH($AA$60,$A$61:$H$61,0))*고양시_Modal_split!K$3 * 0.01</f>
        <v>0.25570884262612259</v>
      </c>
      <c r="AJ66" s="207">
        <f>INDEX($A$61:$H$74,MATCH($L66,$B$61:$B$74,0),MATCH($AA$60,$A$61:$H$61,0))*고양시_Modal_split!L$3 * 0.01</f>
        <v>5.1482713648726008</v>
      </c>
      <c r="AK66" s="207">
        <f>INDEX($A$61:$H$74,MATCH($L66,$B$61:$B$74,0),MATCH($AA$60,$A$61:$H$61,0))*고양시_Modal_split!M$3 * 0.01</f>
        <v>0.39208689202672126</v>
      </c>
      <c r="AL66" s="207">
        <f>INDEX($A$61:$H$74,MATCH($L66,$B$61:$B$74,0),MATCH($AA$60,$A$61:$H$61,0))*고양시_Modal_split!N$3 * 0.01</f>
        <v>0.1704725617507484</v>
      </c>
      <c r="AM66" s="207">
        <f>INDEX($A$61:$H$74,MATCH($L66,$B$61:$B$74,0),MATCH($AA$60,$A$61:$H$61,0))*고양시_Modal_split!O$3 * 0.01</f>
        <v>0.3068506111513471</v>
      </c>
      <c r="AN66" s="207">
        <f>INDEX($A$61:$H$74,MATCH($L66,$B$61:$B$74,0),MATCH($AA$60,$A$61:$H$61,0))*고양시_Modal_split!P$3 * 0.01</f>
        <v>170.47256175074838</v>
      </c>
      <c r="AO66" s="303">
        <f>INDEX($A$61:$H$74,MATCH($L66,$B$61:$B$74,0),MATCH($AO$60,$A$61:$H$61,0))*고양시_Modal_split!C$3 * 0.01</f>
        <v>2.1157518181826797E-2</v>
      </c>
      <c r="AP66" s="303">
        <f>INDEX($A$61:$H$74,MATCH($L66,$B$61:$B$74,0),MATCH($AO$60,$A$61:$H$61,0))*고양시_Modal_split!D$3 * 0.01</f>
        <v>3.5537074288975514</v>
      </c>
      <c r="AQ66" s="303">
        <f>INDEX($A$61:$H$74,MATCH($L66,$B$61:$B$74,0),MATCH($AO$60,$A$61:$H$61,0))*고양시_Modal_split!E$3 * 0.01</f>
        <v>0.42995099448069463</v>
      </c>
      <c r="AR66" s="303">
        <f>INDEX($A$61:$H$74,MATCH($L66,$B$61:$B$74,0),MATCH($AO$60,$A$61:$H$61,0))*고양시_Modal_split!F$3 * 0.01</f>
        <v>0.69290872045482776</v>
      </c>
      <c r="AS66" s="303">
        <f>INDEX($A$61:$H$74,MATCH($L66,$B$61:$B$74,0),MATCH($AO$60,$A$61:$H$61,0))*고양시_Modal_split!G$3 * 0.01</f>
        <v>6.9517559740288046E-2</v>
      </c>
      <c r="AT66" s="303">
        <f>INDEX($A$61:$H$74,MATCH($L66,$B$61:$B$74,0),MATCH($AO$60,$A$61:$H$61,0))*고양시_Modal_split!H$3 * 0.01</f>
        <v>7.5562564935095712E-4</v>
      </c>
      <c r="AU66" s="303">
        <f>INDEX($A$61:$H$74,MATCH($L66,$B$61:$B$74,0),MATCH($AO$60,$A$61:$H$61,0))*고양시_Modal_split!I$3 * 0.01</f>
        <v>0.21006393051956607</v>
      </c>
      <c r="AV66" s="303">
        <f>INDEX($A$61:$H$74,MATCH($L66,$B$61:$B$74,0),MATCH($AO$60,$A$61:$H$61,0))*고양시_Modal_split!J$3 * 0.01</f>
        <v>2.3001244766243136</v>
      </c>
      <c r="AW66" s="303">
        <f>INDEX($A$61:$H$74,MATCH($L66,$B$61:$B$74,0),MATCH($AO$60,$A$61:$H$61,0))*고양시_Modal_split!K$3 * 0.01</f>
        <v>1.1334384740264356E-2</v>
      </c>
      <c r="AX66" s="303">
        <f>INDEX($A$61:$H$74,MATCH($L66,$B$61:$B$74,0),MATCH($AO$60,$A$61:$H$61,0))*고양시_Modal_split!L$3 * 0.01</f>
        <v>0.22819894610398905</v>
      </c>
      <c r="AY66" s="303">
        <f>INDEX($A$61:$H$74,MATCH($L66,$B$61:$B$74,0),MATCH($AO$60,$A$61:$H$61,0))*고양시_Modal_split!M$3 * 0.01</f>
        <v>1.7379389935072011E-2</v>
      </c>
      <c r="AZ66" s="303">
        <f>INDEX($A$61:$H$74,MATCH($L66,$B$61:$B$74,0),MATCH($AO$60,$A$61:$H$61,0))*고양시_Modal_split!N$3 * 0.01</f>
        <v>7.5562564935095725E-3</v>
      </c>
      <c r="BA66" s="207">
        <f>INDEX($A$61:$H$74,MATCH($L66,$B$61:$B$74,0),MATCH($AO$60,$A$61:$H$61,0))*고양시_Modal_split!O$3 * 0.01</f>
        <v>1.3601261688317228E-2</v>
      </c>
      <c r="BB66" s="207">
        <f>INDEX($A$61:$H$74,MATCH($L66,$B$61:$B$74,0),MATCH($AO$60,$A$61:$H$61,0))*고양시_Modal_split!P$3 * 0.01</f>
        <v>7.5562564935095713</v>
      </c>
      <c r="BC66" s="207">
        <f>INDEX($A$61:$H$74,MATCH($L66,$B$61:$B$74,0),MATCH($BC$60,$A$61:$H$61,0))*고양시_Modal_split!C$3 * 0.01</f>
        <v>5.7376320493089825E-5</v>
      </c>
      <c r="BD66" s="207">
        <f>INDEX($A$61:$H$74,MATCH($L66,$B$61:$B$74,0),MATCH($BC$60,$A$61:$H$61,0))*고양시_Modal_split!D$3 * 0.01</f>
        <v>9.6371726885357677E-3</v>
      </c>
      <c r="BE66" s="207">
        <f>INDEX($A$61:$H$74,MATCH($L66,$B$61:$B$74,0),MATCH($BC$60,$A$61:$H$61,0))*고양시_Modal_split!E$3 * 0.01</f>
        <v>1.1659687985917184E-3</v>
      </c>
      <c r="BF66" s="207">
        <f>INDEX($A$61:$H$74,MATCH($L66,$B$61:$B$74,0),MATCH($BC$60,$A$61:$H$61,0))*고양시_Modal_split!F$3 * 0.01</f>
        <v>1.8790744961486919E-3</v>
      </c>
      <c r="BG66" s="207">
        <f>INDEX($A$61:$H$74,MATCH($L66,$B$61:$B$74,0),MATCH($BC$60,$A$61:$H$61,0))*고양시_Modal_split!G$3 * 0.01</f>
        <v>1.8852219590586656E-4</v>
      </c>
      <c r="BH66" s="207">
        <f>INDEX($A$61:$H$74,MATCH($L66,$B$61:$B$74,0),MATCH($BC$60,$A$61:$H$61,0))*고양시_Modal_split!H$3 * 0.01</f>
        <v>2.049154303324637E-6</v>
      </c>
      <c r="BI66" s="207">
        <f>INDEX($A$61:$H$74,MATCH($L66,$B$61:$B$74,0),MATCH($BC$60,$A$61:$H$61,0))*고양시_Modal_split!I$3 * 0.01</f>
        <v>5.6966489632424898E-4</v>
      </c>
      <c r="BJ66" s="207">
        <f>INDEX($A$61:$H$74,MATCH($L66,$B$61:$B$74,0),MATCH($BC$60,$A$61:$H$61,0))*고양시_Modal_split!J$3 * 0.01</f>
        <v>6.2376256993201956E-3</v>
      </c>
      <c r="BK66" s="207">
        <f>INDEX($A$61:$H$74,MATCH($L66,$B$61:$B$74,0),MATCH($BC$60,$A$61:$H$61,0))*고양시_Modal_split!K$3 * 0.01</f>
        <v>3.0737314549869557E-5</v>
      </c>
      <c r="BL66" s="207">
        <f>INDEX($A$61:$H$74,MATCH($L66,$B$61:$B$74,0),MATCH($BC$60,$A$61:$H$61,0))*고양시_Modal_split!L$3 * 0.01</f>
        <v>6.1884459960404026E-4</v>
      </c>
      <c r="BM66" s="207">
        <f>INDEX($A$61:$H$74,MATCH($L66,$B$61:$B$74,0),MATCH($BC$60,$A$61:$H$61,0))*고양시_Modal_split!M$3 * 0.01</f>
        <v>4.7130548976466639E-5</v>
      </c>
      <c r="BN66" s="207">
        <f>INDEX($A$61:$H$74,MATCH($L66,$B$61:$B$74,0),MATCH($BC$60,$A$61:$H$61,0))*고양시_Modal_split!N$3 * 0.01</f>
        <v>2.0491543033246368E-5</v>
      </c>
      <c r="BO66" s="207">
        <f>INDEX($A$61:$H$74,MATCH($L66,$B$61:$B$74,0),MATCH($BC$60,$A$61:$H$61,0))*고양시_Modal_split!O$3 * 0.01</f>
        <v>3.688477745984346E-5</v>
      </c>
      <c r="BP66" s="207">
        <f>INDEX($A$61:$H$74,MATCH($L66,$B$61:$B$74,0),MATCH($BC$60,$A$61:$H$61,0))*고양시_Modal_split!P$3 * 0.01</f>
        <v>2.0491543033246368E-2</v>
      </c>
      <c r="BQ66" s="207">
        <f>INDEX($A$61:$H$74,MATCH($L66,$B$61:$B$74,0),MATCH($BQ$60,$A$61:$H$61,0))*고양시_Modal_split!C$3 * 0.01</f>
        <v>1.6256624139708703E-4</v>
      </c>
      <c r="BR66" s="207">
        <f>INDEX($A$61:$H$74,MATCH($L66,$B$61:$B$74,0),MATCH($BQ$60,$A$61:$H$61,0))*고양시_Modal_split!D$3 * 0.01</f>
        <v>2.7305322617517877E-2</v>
      </c>
      <c r="BS66" s="207">
        <f>INDEX($A$61:$H$74,MATCH($L66,$B$61:$B$74,0),MATCH($BQ$60,$A$61:$H$61,0))*고양시_Modal_split!E$3 * 0.01</f>
        <v>3.3035782626765187E-3</v>
      </c>
      <c r="BT66" s="207">
        <f>INDEX($A$61:$H$74,MATCH($L66,$B$61:$B$74,0),MATCH($BQ$60,$A$61:$H$61,0))*고양시_Modal_split!F$3 * 0.01</f>
        <v>5.3240444057546009E-3</v>
      </c>
      <c r="BU66" s="207">
        <f>INDEX($A$61:$H$74,MATCH($L66,$B$61:$B$74,0),MATCH($BQ$60,$A$61:$H$61,0))*고양시_Modal_split!G$3 * 0.01</f>
        <v>5.3414622173328602E-4</v>
      </c>
      <c r="BV66" s="207">
        <f>INDEX($A$61:$H$74,MATCH($L66,$B$61:$B$74,0),MATCH($BQ$60,$A$61:$H$61,0))*고양시_Modal_split!H$3 * 0.01</f>
        <v>5.8059371927531097E-6</v>
      </c>
      <c r="BW66" s="207">
        <f>INDEX($A$61:$H$74,MATCH($L66,$B$61:$B$74,0),MATCH($BQ$60,$A$61:$H$61,0))*고양시_Modal_split!I$3 * 0.01</f>
        <v>1.6140505395853644E-3</v>
      </c>
      <c r="BX66" s="207">
        <f>INDEX($A$61:$H$74,MATCH($L66,$B$61:$B$74,0),MATCH($BQ$60,$A$61:$H$61,0))*고양시_Modal_split!J$3 * 0.01</f>
        <v>1.7673272814740466E-2</v>
      </c>
      <c r="BY66" s="207">
        <f>INDEX($A$61:$H$74,MATCH($L66,$B$61:$B$74,0),MATCH($BQ$60,$A$61:$H$61,0))*고양시_Modal_split!K$3 * 0.01</f>
        <v>8.7089057891296634E-5</v>
      </c>
      <c r="BZ66" s="207">
        <f>INDEX($A$61:$H$74,MATCH($L66,$B$61:$B$74,0),MATCH($BQ$60,$A$61:$H$61,0))*고양시_Modal_split!L$3 * 0.01</f>
        <v>1.753393032211439E-3</v>
      </c>
      <c r="CA66" s="207">
        <f>INDEX($A$61:$H$74,MATCH($L66,$B$61:$B$74,0),MATCH($BQ$60,$A$61:$H$61,0))*고양시_Modal_split!M$3 * 0.01</f>
        <v>1.3353655543332151E-4</v>
      </c>
      <c r="CB66" s="207">
        <f>INDEX($A$61:$H$74,MATCH($L66,$B$61:$B$74,0),MATCH($BQ$60,$A$61:$H$61,0))*고양시_Modal_split!N$3 * 0.01</f>
        <v>5.8059371927531092E-5</v>
      </c>
      <c r="CC66" s="207">
        <f>INDEX($A$61:$H$74,MATCH($L66,$B$61:$B$74,0),MATCH($BQ$60,$A$61:$H$61,0))*고양시_Modal_split!O$3 * 0.01</f>
        <v>1.0450686946955597E-4</v>
      </c>
      <c r="CD66" s="207">
        <f>INDEX($A$61:$H$74,MATCH($L66,$B$61:$B$74,0),MATCH($BQ$60,$A$61:$H$61,0))*고양시_Modal_split!P$3 * 0.01</f>
        <v>5.8059371927531099E-2</v>
      </c>
      <c r="CE66" s="304">
        <f t="shared" si="31"/>
        <v>0.56008373385333599</v>
      </c>
      <c r="CF66" s="304">
        <f t="shared" si="13"/>
        <v>94.074064296865714</v>
      </c>
      <c r="CG66" s="304">
        <f t="shared" si="14"/>
        <v>11.38170159151958</v>
      </c>
      <c r="CH66" s="304">
        <f t="shared" si="15"/>
        <v>18.342742283696754</v>
      </c>
      <c r="CI66" s="304">
        <f t="shared" si="16"/>
        <v>1.840275125518104</v>
      </c>
      <c r="CJ66" s="304">
        <f t="shared" si="17"/>
        <v>2.0002990494762004E-2</v>
      </c>
      <c r="CK66" s="304">
        <f t="shared" si="18"/>
        <v>5.5608313575438366</v>
      </c>
      <c r="CL66" s="304">
        <f t="shared" si="19"/>
        <v>60.88910306605554</v>
      </c>
      <c r="CM66" s="304">
        <f t="shared" si="20"/>
        <v>0.30004485742143011</v>
      </c>
      <c r="CN66" s="304">
        <f t="shared" si="21"/>
        <v>6.0409031294181235</v>
      </c>
      <c r="CO66" s="304">
        <f t="shared" si="22"/>
        <v>0.460068781379526</v>
      </c>
      <c r="CP66" s="304">
        <f t="shared" si="23"/>
        <v>0.20002990494762005</v>
      </c>
      <c r="CQ66" s="304">
        <f t="shared" si="24"/>
        <v>0.36005382890571602</v>
      </c>
      <c r="CR66" s="304">
        <f t="shared" si="25"/>
        <v>200.02990494762003</v>
      </c>
      <c r="CS66" s="305">
        <f t="shared" si="32"/>
        <v>0</v>
      </c>
      <c r="CV66" s="265" t="s">
        <v>12</v>
      </c>
      <c r="CW66" s="265" t="s">
        <v>12</v>
      </c>
      <c r="CX66" s="267">
        <f>INDEX($M$60:$Z$74,MATCH($CW66,$L$60:$L$74,0),MATCH(CX$61,$M$61:$Z$61,0))/INDEX(고양시_재차인원!$D$4:$H$35,MATCH("고양시",고양시_재차인원!$B$4:$B$35,0),MATCH($CX$60,고양시_재차인원!$D$4:$H$4,0))</f>
        <v>9.2055076618617218</v>
      </c>
      <c r="CY66" s="267">
        <f>INDEX($M$60:$Z$74,MATCH($CW66,$L$60:$L$74,0),MATCH(CY$61,$M$61:$Z$61,0))/INDEX(고양시_재차인원!$K$4:$O$20,MATCH("경기도",고양시_재차인원!$K$4:$K$20,0),MATCH($CY$61,고양시_재차인원!$K$4:$O$4,0))</f>
        <v>7.6146355638767973E-5</v>
      </c>
      <c r="CZ66" s="267">
        <f>INDEX($M$60:$Z$74,MATCH($CW66,$L$60:$L$74,0),MATCH(CZ$61,$M$61:$Z$61,0))/INDEX(고양시_재차인원!$K$4:$O$20,MATCH("경기도",고양시_재차인원!$K$4:$K$20,0),MATCH($CZ$61,고양시_재차인원!$K$4:$O$4,0))</f>
        <v>2.1168686867577488E-2</v>
      </c>
      <c r="DA66" s="267">
        <f>INDEX($M$60:$Z$74,MATCH($CW66,$L$60:$L$74,0),MATCH(DA$61,$M$61:$Z$61,0))/INDEX(고양시_재차인원!$D$4:$H$35,MATCH("고양시",고양시_재차인원!$B$4:$B$35,0),MATCH($CX$60,고양시_재차인원!$D$4:$H$4,0))</f>
        <v>0.59112551858010631</v>
      </c>
      <c r="DB66" s="267">
        <f>INDEX($AA$60:$AN$74,MATCH($CW66,$L$60:$L$74,0),MATCH(DB$61,$AA$61:$AN$61,0))/INDEX(고양시_재차인원!$D$4:$H$35,MATCH("고양시",고양시_재차인원!$B$4:$B$35,0),MATCH($DB$60,고양시_재차인원!$D$4:$H$4,0))</f>
        <v>56.860458008068775</v>
      </c>
      <c r="DC66" s="267">
        <f>INDEX($AA$60:$AN$74,MATCH($CW66,$L$60:$L$74,0),MATCH(DC$61,$AA$61:$AN$61,0))/INDEX(고양시_재차인원!$K$4:$O$20,MATCH("경기도",고양시_재차인원!$K$4:$K$20,0),MATCH($DC$61,고양시_재차인원!$K$4:$O$4,0))</f>
        <v>5.9212421587616674E-4</v>
      </c>
      <c r="DD66" s="267">
        <f>INDEX($AA$60:$AN$74,MATCH($CW66,$L$60:$L$74,0),MATCH(DD$61,$AA$61:$AN$61,0))/INDEX(고양시_재차인원!$K$4:$O$20,MATCH("경기도",고양시_재차인원!$K$4:$K$20,0),MATCH($DD$61,고양시_재차인원!$K$4:$O$4,0))</f>
        <v>0.16461053201357434</v>
      </c>
      <c r="DE66" s="267">
        <f>INDEX($AA$60:$AN$74,MATCH($CW66,$L$60:$L$74,0),MATCH(DE$61,$AA$61:$AN$61,0))/INDEX(고양시_재차인원!$D$4:$H$35,MATCH("고양시",고양시_재차인원!$B$4:$B$35,0),MATCH($DB$60,고양시_재차인원!$D$4:$H$4,0))</f>
        <v>3.6512562871436889</v>
      </c>
      <c r="DF66" s="267">
        <f>INDEX($AO$60:$BB$74,MATCH($CW66,$L$60:$L$74,0),MATCH(DF$61,$AO$61:$BB$61,0))/INDEX(고양시_재차인원!$D$4:$H$35,MATCH("고양시",고양시_재차인원!$B$4:$B$35,0),MATCH($DF$60,고양시_재차인원!$D$4:$H$4,0))</f>
        <v>2.7336210991519625</v>
      </c>
      <c r="DG66" s="267">
        <f>INDEX($AO$60:$BB$74,MATCH($CW66,$L$60:$L$74,0),MATCH(DG$61,$AO$61:$BB$61,0))/INDEX(고양시_재차인원!$K$4:$O$20,MATCH("경기도",고양시_재차인원!$K$4:$K$20,0),MATCH($DG$61,고양시_재차인원!$K$4:$O$4,0))</f>
        <v>2.6246114947931821E-5</v>
      </c>
      <c r="DH66" s="267">
        <f>INDEX($AO$60:$BB$74,MATCH($CW66,$L$60:$L$74,0),MATCH(DH$61,$AO$61:$BB$61,0))/INDEX(고양시_재차인원!$K$4:$O$20,MATCH("경기도",고양시_재차인원!$K$4:$K$20,0),MATCH($DH$61,고양시_재차인원!$K$4:$O$4,0))</f>
        <v>7.2964199555250455E-3</v>
      </c>
      <c r="DI66" s="267">
        <f>INDEX($AO$60:$BB$74,MATCH($CW66,$L$60:$L$74,0),MATCH(DI$61,$AO$61:$BB$61,0))/INDEX(고양시_재차인원!$D$4:$H$35,MATCH("고양시",고양시_재차인원!$B$4:$B$35,0),MATCH($DF$60,고양시_재차인원!$D$4:$H$4,0))</f>
        <v>0.17553765084922235</v>
      </c>
      <c r="DJ66" s="267">
        <f>INDEX($BC$60:$BP$74,MATCH($CW66,$L$60:$L$74,0),MATCH(DJ$61,$BC$61:$BP$61,0))/INDEX(고양시_재차인원!$D$4:$H$35,MATCH("고양시",고양시_재차인원!$B$4:$B$35,0),MATCH($DJ$60,고양시_재차인원!$D$4:$H$4,0))</f>
        <v>7.0861563886292405E-3</v>
      </c>
      <c r="DK66" s="267">
        <f>INDEX($BC$60:$BP$74,MATCH($CW66,$L$60:$L$74,0),MATCH(DK$61,$BC$61:$BP$61,0))/INDEX(고양시_재차인원!$K$4:$O$20,MATCH("경기도",고양시_재차인원!$K$4:$K$20,0),MATCH($DK$61,고양시_재차인원!$K$4:$O$4,0))</f>
        <v>7.1175904943544183E-8</v>
      </c>
      <c r="DL66" s="267">
        <f>INDEX($BC$60:$BP$74,MATCH($CW66,$L$60:$L$74,0),MATCH(DL$61,$BC$61:$BP$61,0))/INDEX(고양시_재차인원!$K$4:$O$20,MATCH("경기도",고양시_재차인원!$K$4:$K$20,0),MATCH($DL$61,고양시_재차인원!$K$4:$O$4,0))</f>
        <v>1.978690157430528E-5</v>
      </c>
      <c r="DM66" s="267">
        <f>INDEX($BC$60:$BP$74,MATCH($CW66,$L$60:$L$74,0),MATCH(DM$61,$BC$61:$BP$61,0))/INDEX(고양시_재차인원!$D$4:$H$35,MATCH("고양시",고양시_재차인원!$B$4:$B$35,0),MATCH($DJ$60,고양시_재차인원!$D$4:$H$4,0))</f>
        <v>4.5503279382650016E-4</v>
      </c>
      <c r="DN66" s="267">
        <f>INDEX($BQ$60:$CD$74,MATCH($CW66,$L$60:$L$74,0),MATCH(DN$61,$BQ$61:$CD$61,0))/INDEX(고양시_재차인원!$D$4:$H$35,MATCH("고양시",고양시_재차인원!$B$4:$B$35,0),MATCH($DN$60,고양시_재차인원!$D$4:$H$4,0))</f>
        <v>2.167089096628403E-2</v>
      </c>
      <c r="DO66" s="267">
        <f>INDEX($BQ$60:$CD$74,MATCH($CW66,$L$60:$L$74,0),MATCH(DO$61,$BQ$61:$CD$61,0))/INDEX(고양시_재차인원!$K$4:$O$20,MATCH("경기도",고양시_재차인원!$K$4:$K$20,0),MATCH($DO$61,고양시_재차인원!$K$4:$O$4,0))</f>
        <v>2.0166506400670754E-7</v>
      </c>
      <c r="DP66" s="267">
        <f>INDEX($BQ$60:$CD$74,MATCH($CW66,$L$60:$L$74,0),MATCH(DP$61,$BQ$61:$CD$61,0))/INDEX(고양시_재차인원!$K$4:$O$20,MATCH("경기도",고양시_재차인원!$K$4:$K$20,0),MATCH($DP$61,고양시_재차인원!$K$4:$O$4,0))</f>
        <v>5.6062887793864688E-5</v>
      </c>
      <c r="DQ66" s="267">
        <f>INDEX($BQ$60:$CD$74,MATCH($CW66,$L$60:$L$74,0),MATCH(DQ$61,$BQ$61:$CD$61,0))/INDEX(고양시_재차인원!$D$4:$H$35,MATCH("고양시",고양시_재차인원!$B$4:$B$35,0),MATCH($DN$60,고양시_재차인원!$D$4:$H$4,0))</f>
        <v>1.3915817715963801E-3</v>
      </c>
      <c r="DR66" s="270">
        <f t="shared" si="33"/>
        <v>68.828343816437354</v>
      </c>
      <c r="DS66" s="270">
        <f t="shared" si="26"/>
        <v>6.9478952743181666E-4</v>
      </c>
      <c r="DT66" s="270">
        <f t="shared" si="27"/>
        <v>0.19315148862604506</v>
      </c>
      <c r="DU66" s="270">
        <f t="shared" si="28"/>
        <v>4.4197660711384401</v>
      </c>
      <c r="DW66" s="278" t="s">
        <v>12</v>
      </c>
      <c r="DX66" s="278" t="s">
        <v>12</v>
      </c>
      <c r="DY66" s="281">
        <f t="shared" si="34"/>
        <v>73.248109887575794</v>
      </c>
      <c r="DZ66" s="281">
        <f t="shared" si="35"/>
        <v>0.19384627815347688</v>
      </c>
      <c r="EB66" s="278" t="s">
        <v>12</v>
      </c>
      <c r="EC66" s="278" t="s">
        <v>12</v>
      </c>
      <c r="ED66" s="281">
        <f>DY66</f>
        <v>73.248109887575794</v>
      </c>
      <c r="EE66" s="281">
        <f t="shared" ref="EE66:EE67" si="40">DZ66</f>
        <v>0.19384627815347688</v>
      </c>
      <c r="EK66" s="420" t="s">
        <v>623</v>
      </c>
      <c r="EL66" s="420" t="s">
        <v>621</v>
      </c>
      <c r="EM66" s="420" t="s">
        <v>220</v>
      </c>
      <c r="EN66" s="420">
        <v>31514.0893</v>
      </c>
      <c r="EO66" s="420">
        <v>1</v>
      </c>
      <c r="EP66" s="421">
        <v>849005</v>
      </c>
      <c r="EQ66" s="422">
        <f t="shared" si="37"/>
        <v>661.0503504395449</v>
      </c>
      <c r="ER66" s="422">
        <f t="shared" si="38"/>
        <v>1.749426030261193</v>
      </c>
      <c r="ES66">
        <v>0</v>
      </c>
      <c r="EU66" s="306" t="s">
        <v>623</v>
      </c>
      <c r="EV66" s="306" t="s">
        <v>200</v>
      </c>
      <c r="EW66" s="306" t="s">
        <v>220</v>
      </c>
      <c r="EX66" s="306">
        <v>31514.0893</v>
      </c>
      <c r="EY66" s="306">
        <v>1</v>
      </c>
      <c r="EZ66" s="307">
        <v>849005</v>
      </c>
      <c r="FA66" s="308">
        <f t="shared" si="39"/>
        <v>661.0503504395449</v>
      </c>
      <c r="FB66" s="308">
        <f t="shared" si="30"/>
        <v>1.749426030261193</v>
      </c>
      <c r="FD66" s="101"/>
      <c r="FE66" s="101"/>
      <c r="FF66" s="101"/>
      <c r="FG66" s="101"/>
      <c r="FH66" s="101"/>
      <c r="FI66" s="374"/>
      <c r="FJ66" s="404"/>
      <c r="FK66" s="404"/>
    </row>
    <row r="67" spans="1:167" ht="25">
      <c r="A67" s="205" t="s">
        <v>13</v>
      </c>
      <c r="B67" s="205" t="s">
        <v>13</v>
      </c>
      <c r="C67" s="201">
        <f>$L34*KTDB_TripDistribution_2025!L$12</f>
        <v>32.583482562951751</v>
      </c>
      <c r="D67" s="201">
        <f>$L34*KTDB_TripDistribution_2025!M$12</f>
        <v>253.37350555066854</v>
      </c>
      <c r="E67" s="201">
        <f>$L34*KTDB_TripDistribution_2025!N$12</f>
        <v>11.230870099786705</v>
      </c>
      <c r="F67" s="201">
        <f>$L34*KTDB_TripDistribution_2025!O$12</f>
        <v>3.0456596880777613E-2</v>
      </c>
      <c r="G67" s="201">
        <f>$L34*KTDB_TripDistribution_2025!P$12</f>
        <v>8.6293691162202812E-2</v>
      </c>
      <c r="H67" s="201">
        <f>$L34*KTDB_TripDistribution_2025!Q$12</f>
        <v>297.30460850144999</v>
      </c>
      <c r="K67" s="206" t="s">
        <v>13</v>
      </c>
      <c r="L67" s="206" t="s">
        <v>13</v>
      </c>
      <c r="M67" s="206">
        <f>INDEX($A$61:$H$74,MATCH($L67,$B$61:$B$74,0),MATCH($M$60,$A$61:$H$61,0))*고양시_Modal_split!C$3 * 0.01</f>
        <v>9.1233751176264893E-2</v>
      </c>
      <c r="N67" s="206">
        <f>INDEX($A$61:$H$74,MATCH($L67,$B$61:$B$74,0),MATCH($M$60,$A$61:$H$61,0))*고양시_Modal_split!D$3 * 0.01</f>
        <v>15.324011849356209</v>
      </c>
      <c r="O67" s="206">
        <f>INDEX($A$61:$H$74,MATCH($L67,$B$61:$B$74,0),MATCH($M$60,$A$61:$H$61,0))*고양시_Modal_split!E$3 * 0.01</f>
        <v>1.8540001578319545</v>
      </c>
      <c r="P67" s="206">
        <f>INDEX($A$61:$H$74,MATCH($L67,$B$61:$B$74,0),MATCH($M$60,$A$61:$H$61,0))*고양시_Modal_split!F$3 * 0.01</f>
        <v>2.9879053510226754</v>
      </c>
      <c r="Q67" s="206">
        <f>INDEX($A$61:$H$74,MATCH($L67,$B$61:$B$74,0),MATCH($M$60,$A$61:$H$61,0))*고양시_Modal_split!G$3 * 0.01</f>
        <v>0.2997680395791561</v>
      </c>
      <c r="R67" s="206">
        <f>INDEX($A$61:$H$74,MATCH($L67,$B$61:$B$74,0),MATCH($M$60,$A$61:$H$61,0))*고양시_Modal_split!H$3 * 0.01</f>
        <v>3.2583482562951755E-3</v>
      </c>
      <c r="S67" s="206">
        <f>INDEX($A$61:$H$74,MATCH($L67,$B$61:$B$74,0),MATCH($M$60,$A$61:$H$61,0))*고양시_Modal_split!I$3 * 0.01</f>
        <v>0.90582081525005864</v>
      </c>
      <c r="T67" s="206">
        <f>INDEX($A$61:$H$74,MATCH($L67,$B$61:$B$74,0),MATCH($M$60,$A$61:$H$61,0))*고양시_Modal_split!J$3 * 0.01</f>
        <v>9.9184120921625141</v>
      </c>
      <c r="U67" s="206">
        <f>INDEX($A$61:$H$74,MATCH($L67,$B$61:$B$74,0),MATCH($M$60,$A$61:$H$61,0))*고양시_Modal_split!K$3 * 0.01</f>
        <v>4.8875223844427627E-2</v>
      </c>
      <c r="V67" s="206">
        <f>INDEX($A$61:$H$74,MATCH($L67,$B$61:$B$74,0),MATCH($M$60,$A$61:$H$61,0))*고양시_Modal_split!L$3 * 0.01</f>
        <v>0.98402117340114292</v>
      </c>
      <c r="W67" s="206">
        <f>INDEX($A$61:$H$74,MATCH($L67,$B$61:$B$74,0),MATCH($M$60,$A$61:$H$61,0))*고양시_Modal_split!M$3 * 0.01</f>
        <v>7.4942009894789025E-2</v>
      </c>
      <c r="X67" s="206">
        <f>INDEX($A$61:$H$74,MATCH($L67,$B$61:$B$74,0),MATCH($M$60,$A$61:$H$61,0))*고양시_Modal_split!N$3 * 0.01</f>
        <v>3.2583482562951752E-2</v>
      </c>
      <c r="Y67" s="206">
        <f>INDEX($A$61:$H$74,MATCH($L67,$B$61:$B$74,0),MATCH($M$60,$A$61:$H$61,0))*고양시_Modal_split!O$3 * 0.01</f>
        <v>5.8650268613313149E-2</v>
      </c>
      <c r="Z67" s="209">
        <f>INDEX($A$61:$H$74,MATCH($L67,$B$61:$B$74,0),MATCH($M$60,$A$61:$H$61,0))*고양시_Modal_split!P$3 * 0.01</f>
        <v>32.583482562951751</v>
      </c>
      <c r="AA67" s="207">
        <f>INDEX($A$61:$H$74,MATCH($L67,$B$61:$B$74,0),MATCH($AA$60,$A$61:$H$61,0))*고양시_Modal_split!C$3 * 0.01</f>
        <v>0.7094458155418718</v>
      </c>
      <c r="AB67" s="207">
        <f>INDEX($A$61:$H$74,MATCH($L67,$B$61:$B$74,0),MATCH($AA$60,$A$61:$H$61,0))*고양시_Modal_split!D$3 * 0.01</f>
        <v>119.16155966047941</v>
      </c>
      <c r="AC67" s="207">
        <f>INDEX($A$61:$H$74,MATCH($L67,$B$61:$B$74,0),MATCH($AA$60,$A$61:$H$61,0))*고양시_Modal_split!E$3 * 0.01</f>
        <v>14.41695246583304</v>
      </c>
      <c r="AD67" s="207">
        <f>INDEX($A$61:$H$74,MATCH($L67,$B$61:$B$74,0),MATCH($AA$60,$A$61:$H$61,0))*고양시_Modal_split!F$3 * 0.01</f>
        <v>23.234350458996307</v>
      </c>
      <c r="AE67" s="207">
        <f>INDEX($A$61:$H$74,MATCH($L67,$B$61:$B$74,0),MATCH($AA$60,$A$61:$H$61,0))*고양시_Modal_split!G$3 * 0.01</f>
        <v>2.3310362510661502</v>
      </c>
      <c r="AF67" s="207">
        <f>INDEX($A$61:$H$74,MATCH($L67,$B$61:$B$74,0),MATCH($AA$60,$A$61:$H$61,0))*고양시_Modal_split!H$3 * 0.01</f>
        <v>2.5337350555066855E-2</v>
      </c>
      <c r="AG67" s="207">
        <f>INDEX($A$61:$H$74,MATCH($L67,$B$61:$B$74,0),MATCH($AA$60,$A$61:$H$61,0))*고양시_Modal_split!I$3 * 0.01</f>
        <v>7.0437834543085858</v>
      </c>
      <c r="AH67" s="207">
        <f>INDEX($A$61:$H$74,MATCH($L67,$B$61:$B$74,0),MATCH($AA$60,$A$61:$H$61,0))*고양시_Modal_split!J$3 * 0.01</f>
        <v>77.126895089623503</v>
      </c>
      <c r="AI67" s="207">
        <f>INDEX($A$61:$H$74,MATCH($L67,$B$61:$B$74,0),MATCH($AA$60,$A$61:$H$61,0))*고양시_Modal_split!K$3 * 0.01</f>
        <v>0.38006025832600282</v>
      </c>
      <c r="AJ67" s="207">
        <f>INDEX($A$61:$H$74,MATCH($L67,$B$61:$B$74,0),MATCH($AA$60,$A$61:$H$61,0))*고양시_Modal_split!L$3 * 0.01</f>
        <v>7.65187986763019</v>
      </c>
      <c r="AK67" s="207">
        <f>INDEX($A$61:$H$74,MATCH($L67,$B$61:$B$74,0),MATCH($AA$60,$A$61:$H$61,0))*고양시_Modal_split!M$3 * 0.01</f>
        <v>0.58275906276653755</v>
      </c>
      <c r="AL67" s="207">
        <f>INDEX($A$61:$H$74,MATCH($L67,$B$61:$B$74,0),MATCH($AA$60,$A$61:$H$61,0))*고양시_Modal_split!N$3 * 0.01</f>
        <v>0.25337350555066857</v>
      </c>
      <c r="AM67" s="207">
        <f>INDEX($A$61:$H$74,MATCH($L67,$B$61:$B$74,0),MATCH($AA$60,$A$61:$H$61,0))*고양시_Modal_split!O$3 * 0.01</f>
        <v>0.45607230999120335</v>
      </c>
      <c r="AN67" s="207">
        <f>INDEX($A$61:$H$74,MATCH($L67,$B$61:$B$74,0),MATCH($AA$60,$A$61:$H$61,0))*고양시_Modal_split!P$3 * 0.01</f>
        <v>253.37350555066854</v>
      </c>
      <c r="AO67" s="303">
        <f>INDEX($A$61:$H$74,MATCH($L67,$B$61:$B$74,0),MATCH($AO$60,$A$61:$H$61,0))*고양시_Modal_split!C$3 * 0.01</f>
        <v>3.1446436279402773E-2</v>
      </c>
      <c r="AP67" s="303">
        <f>INDEX($A$61:$H$74,MATCH($L67,$B$61:$B$74,0),MATCH($AO$60,$A$61:$H$61,0))*고양시_Modal_split!D$3 * 0.01</f>
        <v>5.2818782079296875</v>
      </c>
      <c r="AQ67" s="303">
        <f>INDEX($A$61:$H$74,MATCH($L67,$B$61:$B$74,0),MATCH($AO$60,$A$61:$H$61,0))*고양시_Modal_split!E$3 * 0.01</f>
        <v>0.63903650867786344</v>
      </c>
      <c r="AR67" s="303">
        <f>INDEX($A$61:$H$74,MATCH($L67,$B$61:$B$74,0),MATCH($AO$60,$A$61:$H$61,0))*고양시_Modal_split!F$3 * 0.01</f>
        <v>1.029870788150441</v>
      </c>
      <c r="AS67" s="303">
        <f>INDEX($A$61:$H$74,MATCH($L67,$B$61:$B$74,0),MATCH($AO$60,$A$61:$H$61,0))*고양시_Modal_split!G$3 * 0.01</f>
        <v>0.10332400491803767</v>
      </c>
      <c r="AT67" s="303">
        <f>INDEX($A$61:$H$74,MATCH($L67,$B$61:$B$74,0),MATCH($AO$60,$A$61:$H$61,0))*고양시_Modal_split!H$3 * 0.01</f>
        <v>1.1230870099786705E-3</v>
      </c>
      <c r="AU67" s="303">
        <f>INDEX($A$61:$H$74,MATCH($L67,$B$61:$B$74,0),MATCH($AO$60,$A$61:$H$61,0))*고양시_Modal_split!I$3 * 0.01</f>
        <v>0.31221818877407037</v>
      </c>
      <c r="AV67" s="303">
        <f>INDEX($A$61:$H$74,MATCH($L67,$B$61:$B$74,0),MATCH($AO$60,$A$61:$H$61,0))*고양시_Modal_split!J$3 * 0.01</f>
        <v>3.4186768583750728</v>
      </c>
      <c r="AW67" s="303">
        <f>INDEX($A$61:$H$74,MATCH($L67,$B$61:$B$74,0),MATCH($AO$60,$A$61:$H$61,0))*고양시_Modal_split!K$3 * 0.01</f>
        <v>1.6846305149680055E-2</v>
      </c>
      <c r="AX67" s="303">
        <f>INDEX($A$61:$H$74,MATCH($L67,$B$61:$B$74,0),MATCH($AO$60,$A$61:$H$61,0))*고양시_Modal_split!L$3 * 0.01</f>
        <v>0.33917227701355851</v>
      </c>
      <c r="AY67" s="303">
        <f>INDEX($A$61:$H$74,MATCH($L67,$B$61:$B$74,0),MATCH($AO$60,$A$61:$H$61,0))*고양시_Modal_split!M$3 * 0.01</f>
        <v>2.5831001229509418E-2</v>
      </c>
      <c r="AZ67" s="303">
        <f>INDEX($A$61:$H$74,MATCH($L67,$B$61:$B$74,0),MATCH($AO$60,$A$61:$H$61,0))*고양시_Modal_split!N$3 * 0.01</f>
        <v>1.1230870099786705E-2</v>
      </c>
      <c r="BA67" s="207">
        <f>INDEX($A$61:$H$74,MATCH($L67,$B$61:$B$74,0),MATCH($AO$60,$A$61:$H$61,0))*고양시_Modal_split!O$3 * 0.01</f>
        <v>2.0215566179616066E-2</v>
      </c>
      <c r="BB67" s="207">
        <f>INDEX($A$61:$H$74,MATCH($L67,$B$61:$B$74,0),MATCH($AO$60,$A$61:$H$61,0))*고양시_Modal_split!P$3 * 0.01</f>
        <v>11.230870099786705</v>
      </c>
      <c r="BC67" s="207">
        <f>INDEX($A$61:$H$74,MATCH($L67,$B$61:$B$74,0),MATCH($BC$60,$A$61:$H$61,0))*고양시_Modal_split!C$3 * 0.01</f>
        <v>8.5278471266177306E-5</v>
      </c>
      <c r="BD67" s="207">
        <f>INDEX($A$61:$H$74,MATCH($L67,$B$61:$B$74,0),MATCH($BC$60,$A$61:$H$61,0))*고양시_Modal_split!D$3 * 0.01</f>
        <v>1.432373751302971E-2</v>
      </c>
      <c r="BE67" s="207">
        <f>INDEX($A$61:$H$74,MATCH($L67,$B$61:$B$74,0),MATCH($BC$60,$A$61:$H$61,0))*고양시_Modal_split!E$3 * 0.01</f>
        <v>1.732980362516246E-3</v>
      </c>
      <c r="BF67" s="207">
        <f>INDEX($A$61:$H$74,MATCH($L67,$B$61:$B$74,0),MATCH($BC$60,$A$61:$H$61,0))*고양시_Modal_split!F$3 * 0.01</f>
        <v>2.792869933967307E-3</v>
      </c>
      <c r="BG67" s="207">
        <f>INDEX($A$61:$H$74,MATCH($L67,$B$61:$B$74,0),MATCH($BC$60,$A$61:$H$61,0))*고양시_Modal_split!G$3 * 0.01</f>
        <v>2.8020069130315402E-4</v>
      </c>
      <c r="BH67" s="207">
        <f>INDEX($A$61:$H$74,MATCH($L67,$B$61:$B$74,0),MATCH($BC$60,$A$61:$H$61,0))*고양시_Modal_split!H$3 * 0.01</f>
        <v>3.0456596880777617E-6</v>
      </c>
      <c r="BI67" s="207">
        <f>INDEX($A$61:$H$74,MATCH($L67,$B$61:$B$74,0),MATCH($BC$60,$A$61:$H$61,0))*고양시_Modal_split!I$3 * 0.01</f>
        <v>8.4669339328561754E-4</v>
      </c>
      <c r="BJ67" s="207">
        <f>INDEX($A$61:$H$74,MATCH($L67,$B$61:$B$74,0),MATCH($BC$60,$A$61:$H$61,0))*고양시_Modal_split!J$3 * 0.01</f>
        <v>9.2709880905087055E-3</v>
      </c>
      <c r="BK67" s="207">
        <f>INDEX($A$61:$H$74,MATCH($L67,$B$61:$B$74,0),MATCH($BC$60,$A$61:$H$61,0))*고양시_Modal_split!K$3 * 0.01</f>
        <v>4.568489532116642E-5</v>
      </c>
      <c r="BL67" s="207">
        <f>INDEX($A$61:$H$74,MATCH($L67,$B$61:$B$74,0),MATCH($BC$60,$A$61:$H$61,0))*고양시_Modal_split!L$3 * 0.01</f>
        <v>9.1978922579948389E-4</v>
      </c>
      <c r="BM67" s="207">
        <f>INDEX($A$61:$H$74,MATCH($L67,$B$61:$B$74,0),MATCH($BC$60,$A$61:$H$61,0))*고양시_Modal_split!M$3 * 0.01</f>
        <v>7.0050172825788506E-5</v>
      </c>
      <c r="BN67" s="207">
        <f>INDEX($A$61:$H$74,MATCH($L67,$B$61:$B$74,0),MATCH($BC$60,$A$61:$H$61,0))*고양시_Modal_split!N$3 * 0.01</f>
        <v>3.0456596880777617E-5</v>
      </c>
      <c r="BO67" s="207">
        <f>INDEX($A$61:$H$74,MATCH($L67,$B$61:$B$74,0),MATCH($BC$60,$A$61:$H$61,0))*고양시_Modal_split!O$3 * 0.01</f>
        <v>5.4821874385399706E-5</v>
      </c>
      <c r="BP67" s="207">
        <f>INDEX($A$61:$H$74,MATCH($L67,$B$61:$B$74,0),MATCH($BC$60,$A$61:$H$61,0))*고양시_Modal_split!P$3 * 0.01</f>
        <v>3.0456596880777613E-2</v>
      </c>
      <c r="BQ67" s="207">
        <f>INDEX($A$61:$H$74,MATCH($L67,$B$61:$B$74,0),MATCH($BQ$60,$A$61:$H$61,0))*고양시_Modal_split!C$3 * 0.01</f>
        <v>2.4162233525416786E-4</v>
      </c>
      <c r="BR67" s="207">
        <f>INDEX($A$61:$H$74,MATCH($L67,$B$61:$B$74,0),MATCH($BQ$60,$A$61:$H$61,0))*고양시_Modal_split!D$3 * 0.01</f>
        <v>4.0583922953583984E-2</v>
      </c>
      <c r="BS67" s="207">
        <f>INDEX($A$61:$H$74,MATCH($L67,$B$61:$B$74,0),MATCH($BQ$60,$A$61:$H$61,0))*고양시_Modal_split!E$3 * 0.01</f>
        <v>4.9101110271293396E-3</v>
      </c>
      <c r="BT67" s="207">
        <f>INDEX($A$61:$H$74,MATCH($L67,$B$61:$B$74,0),MATCH($BQ$60,$A$61:$H$61,0))*고양시_Modal_split!F$3 * 0.01</f>
        <v>7.9131314795739989E-3</v>
      </c>
      <c r="BU67" s="207">
        <f>INDEX($A$61:$H$74,MATCH($L67,$B$61:$B$74,0),MATCH($BQ$60,$A$61:$H$61,0))*고양시_Modal_split!G$3 * 0.01</f>
        <v>7.9390195869226583E-4</v>
      </c>
      <c r="BV67" s="207">
        <f>INDEX($A$61:$H$74,MATCH($L67,$B$61:$B$74,0),MATCH($BQ$60,$A$61:$H$61,0))*고양시_Modal_split!H$3 * 0.01</f>
        <v>8.629369116220282E-6</v>
      </c>
      <c r="BW67" s="207">
        <f>INDEX($A$61:$H$74,MATCH($L67,$B$61:$B$74,0),MATCH($BQ$60,$A$61:$H$61,0))*고양시_Modal_split!I$3 * 0.01</f>
        <v>2.398964614309238E-3</v>
      </c>
      <c r="BX67" s="207">
        <f>INDEX($A$61:$H$74,MATCH($L67,$B$61:$B$74,0),MATCH($BQ$60,$A$61:$H$61,0))*고양시_Modal_split!J$3 * 0.01</f>
        <v>2.626779958977454E-2</v>
      </c>
      <c r="BY67" s="207">
        <f>INDEX($A$61:$H$74,MATCH($L67,$B$61:$B$74,0),MATCH($BQ$60,$A$61:$H$61,0))*고양시_Modal_split!K$3 * 0.01</f>
        <v>1.2944053674330422E-4</v>
      </c>
      <c r="BZ67" s="207">
        <f>INDEX($A$61:$H$74,MATCH($L67,$B$61:$B$74,0),MATCH($BQ$60,$A$61:$H$61,0))*고양시_Modal_split!L$3 * 0.01</f>
        <v>2.6060694730985251E-3</v>
      </c>
      <c r="CA67" s="207">
        <f>INDEX($A$61:$H$74,MATCH($L67,$B$61:$B$74,0),MATCH($BQ$60,$A$61:$H$61,0))*고양시_Modal_split!M$3 * 0.01</f>
        <v>1.9847548967306646E-4</v>
      </c>
      <c r="CB67" s="207">
        <f>INDEX($A$61:$H$74,MATCH($L67,$B$61:$B$74,0),MATCH($BQ$60,$A$61:$H$61,0))*고양시_Modal_split!N$3 * 0.01</f>
        <v>8.629369116220281E-5</v>
      </c>
      <c r="CC67" s="207">
        <f>INDEX($A$61:$H$74,MATCH($L67,$B$61:$B$74,0),MATCH($BQ$60,$A$61:$H$61,0))*고양시_Modal_split!O$3 * 0.01</f>
        <v>1.5532864409196505E-4</v>
      </c>
      <c r="CD67" s="207">
        <f>INDEX($A$61:$H$74,MATCH($L67,$B$61:$B$74,0),MATCH($BQ$60,$A$61:$H$61,0))*고양시_Modal_split!P$3 * 0.01</f>
        <v>8.6293691162202826E-2</v>
      </c>
      <c r="CE67" s="304">
        <f t="shared" si="31"/>
        <v>0.83245290380405979</v>
      </c>
      <c r="CF67" s="304">
        <f t="shared" si="13"/>
        <v>139.82235737823189</v>
      </c>
      <c r="CG67" s="304">
        <f t="shared" si="14"/>
        <v>16.916632223732503</v>
      </c>
      <c r="CH67" s="304">
        <f t="shared" si="15"/>
        <v>27.262832599582961</v>
      </c>
      <c r="CI67" s="304">
        <f t="shared" si="16"/>
        <v>2.7352023982133398</v>
      </c>
      <c r="CJ67" s="304">
        <f t="shared" si="17"/>
        <v>2.9730460850144996E-2</v>
      </c>
      <c r="CK67" s="304">
        <f t="shared" si="18"/>
        <v>8.2650681163403092</v>
      </c>
      <c r="CL67" s="304">
        <f t="shared" si="19"/>
        <v>90.499522827841375</v>
      </c>
      <c r="CM67" s="304">
        <f t="shared" si="20"/>
        <v>0.44595691275217492</v>
      </c>
      <c r="CN67" s="304">
        <f t="shared" si="21"/>
        <v>8.9785991767437903</v>
      </c>
      <c r="CO67" s="304">
        <f t="shared" si="22"/>
        <v>0.68380059955333494</v>
      </c>
      <c r="CP67" s="304">
        <f t="shared" si="23"/>
        <v>0.29730460850144996</v>
      </c>
      <c r="CQ67" s="304">
        <f t="shared" si="24"/>
        <v>0.53514829530260999</v>
      </c>
      <c r="CR67" s="304">
        <f t="shared" si="25"/>
        <v>297.30460850144999</v>
      </c>
      <c r="CS67" s="305">
        <f t="shared" si="32"/>
        <v>0</v>
      </c>
      <c r="CV67" s="267" t="s">
        <v>13</v>
      </c>
      <c r="CW67" s="267" t="s">
        <v>13</v>
      </c>
      <c r="CX67" s="267">
        <f>INDEX($M$60:$Z$74,MATCH($CW67,$L$60:$L$74,0),MATCH(CX$61,$M$61:$Z$61,0))/INDEX(고양시_재차인원!$D$4:$H$35,MATCH("고양시",고양시_재차인원!$B$4:$B$35,0),MATCH($CX$60,고양시_재차인원!$D$4:$H$4,0))</f>
        <v>13.682153436925185</v>
      </c>
      <c r="CY67" s="267">
        <f>INDEX($M$60:$Z$74,MATCH($CW67,$L$60:$L$74,0),MATCH(CY$61,$M$61:$Z$61,0))/INDEX(고양시_재차인원!$K$4:$O$20,MATCH("경기도",고양시_재차인원!$K$4:$K$20,0),MATCH($CY$61,고양시_재차인원!$K$4:$O$4,0))</f>
        <v>1.1317638958996789E-4</v>
      </c>
      <c r="CZ67" s="267">
        <f>INDEX($M$60:$Z$74,MATCH($CW67,$L$60:$L$74,0),MATCH(CZ$61,$M$61:$Z$61,0))/INDEX(고양시_재차인원!$K$4:$O$20,MATCH("경기도",고양시_재차인원!$K$4:$K$20,0),MATCH($CZ$61,고양시_재차인원!$K$4:$O$4,0))</f>
        <v>3.146303630601107E-2</v>
      </c>
      <c r="DA67" s="267">
        <f>INDEX($M$60:$Z$74,MATCH($CW67,$L$60:$L$74,0),MATCH(DA$61,$M$61:$Z$61,0))/INDEX(고양시_재차인원!$D$4:$H$35,MATCH("고양시",고양시_재차인원!$B$4:$B$35,0),MATCH($CX$60,고양시_재차인원!$D$4:$H$4,0))</f>
        <v>0.87859033339387749</v>
      </c>
      <c r="DB67" s="267">
        <f>INDEX($AA$60:$AN$74,MATCH($CW67,$L$60:$L$74,0),MATCH(DB$61,$AA$61:$AN$61,0))/INDEX(고양시_재차인원!$D$4:$H$35,MATCH("고양시",고양시_재차인원!$B$4:$B$35,0),MATCH($DB$60,고양시_재차인원!$D$4:$H$4,0))</f>
        <v>84.511744440056319</v>
      </c>
      <c r="DC67" s="267">
        <f>INDEX($AA$60:$AN$74,MATCH($CW67,$L$60:$L$74,0),MATCH(DC$61,$AA$61:$AN$61,0))/INDEX(고양시_재차인원!$K$4:$O$20,MATCH("경기도",고양시_재차인원!$K$4:$K$20,0),MATCH($DC$61,고양시_재차인원!$K$4:$O$4,0))</f>
        <v>8.800746979877338E-4</v>
      </c>
      <c r="DD67" s="267">
        <f>INDEX($AA$60:$AN$74,MATCH($CW67,$L$60:$L$74,0),MATCH(DD$61,$AA$61:$AN$61,0))/INDEX(고양시_재차인원!$K$4:$O$20,MATCH("경기도",고양시_재차인원!$K$4:$K$20,0),MATCH($DD$61,고양시_재차인원!$K$4:$O$4,0))</f>
        <v>0.24466076604059001</v>
      </c>
      <c r="DE67" s="267">
        <f>INDEX($AA$60:$AN$74,MATCH($CW67,$L$60:$L$74,0),MATCH(DE$61,$AA$61:$AN$61,0))/INDEX(고양시_재차인원!$D$4:$H$35,MATCH("고양시",고양시_재차인원!$B$4:$B$35,0),MATCH($DB$60,고양시_재차인원!$D$4:$H$4,0))</f>
        <v>5.4268651543476532</v>
      </c>
      <c r="DF67" s="267">
        <f>INDEX($AO$60:$BB$74,MATCH($CW67,$L$60:$L$74,0),MATCH(DF$61,$AO$61:$BB$61,0))/INDEX(고양시_재차인원!$D$4:$H$35,MATCH("고양시",고양시_재차인원!$B$4:$B$35,0),MATCH($DF$60,고양시_재차인원!$D$4:$H$4,0))</f>
        <v>4.0629832368689902</v>
      </c>
      <c r="DG67" s="267">
        <f>INDEX($AO$60:$BB$74,MATCH($CW67,$L$60:$L$74,0),MATCH(DG$61,$AO$61:$BB$61,0))/INDEX(고양시_재차인원!$K$4:$O$20,MATCH("경기도",고양시_재차인원!$K$4:$K$20,0),MATCH($DG$61,고양시_재차인원!$K$4:$O$4,0))</f>
        <v>3.9009621742920127E-5</v>
      </c>
      <c r="DH67" s="267">
        <f>INDEX($AO$60:$BB$74,MATCH($CW67,$L$60:$L$74,0),MATCH(DH$61,$AO$61:$BB$61,0))/INDEX(고양시_재차인원!$K$4:$O$20,MATCH("경기도",고양시_재차인원!$K$4:$K$20,0),MATCH($DH$61,고양시_재차인원!$K$4:$O$4,0))</f>
        <v>1.0844674844531796E-2</v>
      </c>
      <c r="DI67" s="267">
        <f>INDEX($AO$60:$BB$74,MATCH($CW67,$L$60:$L$74,0),MATCH(DI$61,$AO$61:$BB$61,0))/INDEX(고양시_재차인원!$D$4:$H$35,MATCH("고양시",고양시_재차인원!$B$4:$B$35,0),MATCH($DF$60,고양시_재차인원!$D$4:$H$4,0))</f>
        <v>0.26090175154889117</v>
      </c>
      <c r="DJ67" s="267">
        <f>INDEX($BC$60:$BP$74,MATCH($CW67,$L$60:$L$74,0),MATCH(DJ$61,$BC$61:$BP$61,0))/INDEX(고양시_재차인원!$D$4:$H$35,MATCH("고양시",고양시_재차인원!$B$4:$B$35,0),MATCH($DJ$60,고양시_재차인원!$D$4:$H$4,0))</f>
        <v>1.0532159936051257E-2</v>
      </c>
      <c r="DK67" s="267">
        <f>INDEX($BC$60:$BP$74,MATCH($CW67,$L$60:$L$74,0),MATCH(DK$61,$BC$61:$BP$61,0))/INDEX(고양시_재차인원!$K$4:$O$20,MATCH("경기도",고양시_재차인원!$K$4:$K$20,0),MATCH($DK$61,고양시_재차인원!$K$4:$O$4,0))</f>
        <v>1.0578880472656345E-7</v>
      </c>
      <c r="DL67" s="267">
        <f>INDEX($BC$60:$BP$74,MATCH($CW67,$L$60:$L$74,0),MATCH(DL$61,$BC$61:$BP$61,0))/INDEX(고양시_재차인원!$K$4:$O$20,MATCH("경기도",고양시_재차인원!$K$4:$K$20,0),MATCH($DL$61,고양시_재차인원!$K$4:$O$4,0))</f>
        <v>2.9409287713984631E-5</v>
      </c>
      <c r="DM67" s="267">
        <f>INDEX($BC$60:$BP$74,MATCH($CW67,$L$60:$L$74,0),MATCH(DM$61,$BC$61:$BP$61,0))/INDEX(고양시_재차인원!$D$4:$H$35,MATCH("고양시",고양시_재차인원!$B$4:$B$35,0),MATCH($DJ$60,고양시_재차인원!$D$4:$H$4,0))</f>
        <v>6.7631560720550282E-4</v>
      </c>
      <c r="DN67" s="267">
        <f>INDEX($BQ$60:$CD$74,MATCH($CW67,$L$60:$L$74,0),MATCH(DN$61,$BQ$61:$CD$61,0))/INDEX(고양시_재차인원!$D$4:$H$35,MATCH("고양시",고양시_재차인원!$B$4:$B$35,0),MATCH($DN$60,고양시_재차인원!$D$4:$H$4,0))</f>
        <v>3.2209462661574588E-2</v>
      </c>
      <c r="DO67" s="267">
        <f>INDEX($BQ$60:$CD$74,MATCH($CW67,$L$60:$L$74,0),MATCH(DO$61,$BQ$61:$CD$61,0))/INDEX(고양시_재차인원!$K$4:$O$20,MATCH("경기도",고양시_재차인원!$K$4:$K$20,0),MATCH($DO$61,고양시_재차인원!$K$4:$O$4,0))</f>
        <v>2.9973494672526163E-7</v>
      </c>
      <c r="DP67" s="267">
        <f>INDEX($BQ$60:$CD$74,MATCH($CW67,$L$60:$L$74,0),MATCH(DP$61,$BQ$61:$CD$61,0))/INDEX(고양시_재차인원!$K$4:$O$20,MATCH("경기도",고양시_재차인원!$K$4:$K$20,0),MATCH($DP$61,고양시_재차인원!$K$4:$O$4,0))</f>
        <v>8.3326315189622714E-5</v>
      </c>
      <c r="DQ67" s="267">
        <f>INDEX($BQ$60:$CD$74,MATCH($CW67,$L$60:$L$74,0),MATCH(DQ$61,$BQ$61:$CD$61,0))/INDEX(고양시_재차인원!$D$4:$H$35,MATCH("고양시",고양시_재차인원!$B$4:$B$35,0),MATCH($DN$60,고양시_재차인원!$D$4:$H$4,0))</f>
        <v>2.06830910563375E-3</v>
      </c>
      <c r="DR67" s="270">
        <f t="shared" si="33"/>
        <v>102.29962273644811</v>
      </c>
      <c r="DS67" s="270">
        <f t="shared" si="26"/>
        <v>1.0326662330720738E-3</v>
      </c>
      <c r="DT67" s="270">
        <f t="shared" si="27"/>
        <v>0.28708121279403648</v>
      </c>
      <c r="DU67" s="270">
        <f t="shared" si="28"/>
        <v>6.5691018640032617</v>
      </c>
      <c r="DW67" s="278" t="s">
        <v>13</v>
      </c>
      <c r="DX67" s="278" t="s">
        <v>13</v>
      </c>
      <c r="DY67" s="281">
        <f t="shared" ref="DY67:DY73" si="41">DR67+DU67</f>
        <v>108.86872460045137</v>
      </c>
      <c r="DZ67" s="281">
        <f t="shared" ref="DZ67:DZ73" si="42">DS67+DT67</f>
        <v>0.28811387902710855</v>
      </c>
      <c r="EB67" s="278" t="s">
        <v>13</v>
      </c>
      <c r="EC67" s="278" t="s">
        <v>13</v>
      </c>
      <c r="ED67" s="281">
        <f t="shared" ref="ED67" si="43">DY67</f>
        <v>108.86872460045137</v>
      </c>
      <c r="EE67" s="281">
        <f t="shared" si="40"/>
        <v>0.28811387902710855</v>
      </c>
      <c r="EK67" s="420" t="s">
        <v>623</v>
      </c>
      <c r="EL67" s="420" t="s">
        <v>622</v>
      </c>
      <c r="EM67" s="420" t="s">
        <v>221</v>
      </c>
      <c r="EN67" s="420">
        <v>32098.9882</v>
      </c>
      <c r="EO67" s="420">
        <v>1</v>
      </c>
      <c r="EP67" s="421">
        <v>849006</v>
      </c>
      <c r="EQ67" s="422">
        <f t="shared" si="37"/>
        <v>673.95974189628146</v>
      </c>
      <c r="ER67" s="422">
        <f t="shared" si="38"/>
        <v>1.7835898809183024</v>
      </c>
      <c r="ES67">
        <v>0</v>
      </c>
      <c r="EU67" s="306" t="s">
        <v>623</v>
      </c>
      <c r="EV67" s="306" t="s">
        <v>201</v>
      </c>
      <c r="EW67" s="306" t="s">
        <v>221</v>
      </c>
      <c r="EX67" s="306">
        <v>32098.9882</v>
      </c>
      <c r="EY67" s="306">
        <v>1</v>
      </c>
      <c r="EZ67" s="307">
        <v>849006</v>
      </c>
      <c r="FA67" s="308">
        <f t="shared" si="39"/>
        <v>673.95974189628146</v>
      </c>
      <c r="FB67" s="308">
        <f t="shared" si="30"/>
        <v>1.7835898809183024</v>
      </c>
      <c r="FD67" s="101"/>
      <c r="FE67" s="101"/>
      <c r="FF67" s="101"/>
      <c r="FG67" s="101"/>
      <c r="FH67" s="101"/>
      <c r="FI67" s="374"/>
      <c r="FJ67" s="404"/>
      <c r="FK67" s="404"/>
    </row>
    <row r="68" spans="1:167">
      <c r="A68" s="205" t="s">
        <v>167</v>
      </c>
      <c r="B68" s="205" t="s">
        <v>167</v>
      </c>
      <c r="C68" s="201">
        <f>$L35*KTDB_TripDistribution_2025!L$12</f>
        <v>135.07542545533391</v>
      </c>
      <c r="D68" s="201">
        <f>$L35*KTDB_TripDistribution_2025!M$12</f>
        <v>1050.3645212031488</v>
      </c>
      <c r="E68" s="201">
        <f>$L35*KTDB_TripDistribution_2025!N$12</f>
        <v>46.557778286326027</v>
      </c>
      <c r="F68" s="201">
        <f>$L35*KTDB_TripDistribution_2025!O$12</f>
        <v>0.12625838179342697</v>
      </c>
      <c r="G68" s="201">
        <f>$L35*KTDB_TripDistribution_2025!P$12</f>
        <v>0.35773208174804128</v>
      </c>
      <c r="H68" s="201">
        <f>$L35*KTDB_TripDistribution_2025!Q$12</f>
        <v>1232.4817154083503</v>
      </c>
      <c r="I68" s="56"/>
      <c r="J68" s="56"/>
      <c r="K68" s="206" t="s">
        <v>167</v>
      </c>
      <c r="L68" s="206" t="s">
        <v>167</v>
      </c>
      <c r="M68" s="206">
        <f>INDEX($A$61:$H$74,MATCH($L68,$B$61:$B$74,0),MATCH($M$60,$A$61:$H$61,0))*고양시_Modal_split!C$3 * 0.01</f>
        <v>0.37821119127493491</v>
      </c>
      <c r="N68" s="206">
        <f>INDEX($A$61:$H$74,MATCH($L68,$B$61:$B$74,0),MATCH($M$60,$A$61:$H$61,0))*고양시_Modal_split!D$3 * 0.01</f>
        <v>63.525972591643544</v>
      </c>
      <c r="O68" s="206">
        <f>INDEX($A$61:$H$74,MATCH($L68,$B$61:$B$74,0),MATCH($M$60,$A$61:$H$61,0))*고양시_Modal_split!E$3 * 0.01</f>
        <v>7.685791708408499</v>
      </c>
      <c r="P68" s="206">
        <f>INDEX($A$61:$H$74,MATCH($L68,$B$61:$B$74,0),MATCH($M$60,$A$61:$H$61,0))*고양시_Modal_split!F$3 * 0.01</f>
        <v>12.386416514254121</v>
      </c>
      <c r="Q68" s="206">
        <f>INDEX($A$61:$H$74,MATCH($L68,$B$61:$B$74,0),MATCH($M$60,$A$61:$H$61,0))*고양시_Modal_split!G$3 * 0.01</f>
        <v>1.2426939141890718</v>
      </c>
      <c r="R68" s="206">
        <f>INDEX($A$61:$H$74,MATCH($L68,$B$61:$B$74,0),MATCH($M$60,$A$61:$H$61,0))*고양시_Modal_split!H$3 * 0.01</f>
        <v>1.3507542545533392E-2</v>
      </c>
      <c r="S68" s="206">
        <f>INDEX($A$61:$H$74,MATCH($L68,$B$61:$B$74,0),MATCH($M$60,$A$61:$H$61,0))*고양시_Modal_split!I$3 * 0.01</f>
        <v>3.7550968276582823</v>
      </c>
      <c r="T68" s="206">
        <f>INDEX($A$61:$H$74,MATCH($L68,$B$61:$B$74,0),MATCH($M$60,$A$61:$H$61,0))*고양시_Modal_split!J$3 * 0.01</f>
        <v>41.116959508603642</v>
      </c>
      <c r="U68" s="206">
        <f>INDEX($A$61:$H$74,MATCH($L68,$B$61:$B$74,0),MATCH($M$60,$A$61:$H$61,0))*고양시_Modal_split!K$3 * 0.01</f>
        <v>0.20261313818300086</v>
      </c>
      <c r="V68" s="206">
        <f>INDEX($A$61:$H$74,MATCH($L68,$B$61:$B$74,0),MATCH($M$60,$A$61:$H$61,0))*고양시_Modal_split!L$3 * 0.01</f>
        <v>4.0792778487510848</v>
      </c>
      <c r="W68" s="206">
        <f>INDEX($A$61:$H$74,MATCH($L68,$B$61:$B$74,0),MATCH($M$60,$A$61:$H$61,0))*고양시_Modal_split!M$3 * 0.01</f>
        <v>0.31067347854726796</v>
      </c>
      <c r="X68" s="206">
        <f>INDEX($A$61:$H$74,MATCH($L68,$B$61:$B$74,0),MATCH($M$60,$A$61:$H$61,0))*고양시_Modal_split!N$3 * 0.01</f>
        <v>0.13507542545533391</v>
      </c>
      <c r="Y68" s="206">
        <f>INDEX($A$61:$H$74,MATCH($L68,$B$61:$B$74,0),MATCH($M$60,$A$61:$H$61,0))*고양시_Modal_split!O$3 * 0.01</f>
        <v>0.24313576581960103</v>
      </c>
      <c r="Z68" s="209">
        <f>INDEX($A$61:$H$74,MATCH($L68,$B$61:$B$74,0),MATCH($M$60,$A$61:$H$61,0))*고양시_Modal_split!P$3 * 0.01</f>
        <v>135.07542545533391</v>
      </c>
      <c r="AA68" s="207">
        <f>INDEX($A$61:$H$74,MATCH($L68,$B$61:$B$74,0),MATCH($AA$60,$A$61:$H$61,0))*고양시_Modal_split!C$3 * 0.01</f>
        <v>2.9410206593688164</v>
      </c>
      <c r="AB68" s="207">
        <f>INDEX($A$61:$H$74,MATCH($L68,$B$61:$B$74,0),MATCH($AA$60,$A$61:$H$61,0))*고양시_Modal_split!D$3 * 0.01</f>
        <v>493.98643432184087</v>
      </c>
      <c r="AC68" s="207">
        <f>INDEX($A$61:$H$74,MATCH($L68,$B$61:$B$74,0),MATCH($AA$60,$A$61:$H$61,0))*고양시_Modal_split!E$3 * 0.01</f>
        <v>59.765741256459158</v>
      </c>
      <c r="AD68" s="207">
        <f>INDEX($A$61:$H$74,MATCH($L68,$B$61:$B$74,0),MATCH($AA$60,$A$61:$H$61,0))*고양시_Modal_split!F$3 * 0.01</f>
        <v>96.318426594328741</v>
      </c>
      <c r="AE68" s="207">
        <f>INDEX($A$61:$H$74,MATCH($L68,$B$61:$B$74,0),MATCH($AA$60,$A$61:$H$61,0))*고양시_Modal_split!G$3 * 0.01</f>
        <v>9.6633535950689673</v>
      </c>
      <c r="AF68" s="207">
        <f>INDEX($A$61:$H$74,MATCH($L68,$B$61:$B$74,0),MATCH($AA$60,$A$61:$H$61,0))*고양시_Modal_split!H$3 * 0.01</f>
        <v>0.10503645212031489</v>
      </c>
      <c r="AG68" s="207">
        <f>INDEX($A$61:$H$74,MATCH($L68,$B$61:$B$74,0),MATCH($AA$60,$A$61:$H$61,0))*고양시_Modal_split!I$3 * 0.01</f>
        <v>29.200133689447537</v>
      </c>
      <c r="AH68" s="207">
        <f>INDEX($A$61:$H$74,MATCH($L68,$B$61:$B$74,0),MATCH($AA$60,$A$61:$H$61,0))*고양시_Modal_split!J$3 * 0.01</f>
        <v>319.73096025423848</v>
      </c>
      <c r="AI68" s="207">
        <f>INDEX($A$61:$H$74,MATCH($L68,$B$61:$B$74,0),MATCH($AA$60,$A$61:$H$61,0))*고양시_Modal_split!K$3 * 0.01</f>
        <v>1.5755467818047231</v>
      </c>
      <c r="AJ68" s="207">
        <f>INDEX($A$61:$H$74,MATCH($L68,$B$61:$B$74,0),MATCH($AA$60,$A$61:$H$61,0))*고양시_Modal_split!L$3 * 0.01</f>
        <v>31.721008540335092</v>
      </c>
      <c r="AK68" s="207">
        <f>INDEX($A$61:$H$74,MATCH($L68,$B$61:$B$74,0),MATCH($AA$60,$A$61:$H$61,0))*고양시_Modal_split!M$3 * 0.01</f>
        <v>2.4158383987672418</v>
      </c>
      <c r="AL68" s="207">
        <f>INDEX($A$61:$H$74,MATCH($L68,$B$61:$B$74,0),MATCH($AA$60,$A$61:$H$61,0))*고양시_Modal_split!N$3 * 0.01</f>
        <v>1.0503645212031489</v>
      </c>
      <c r="AM68" s="207">
        <f>INDEX($A$61:$H$74,MATCH($L68,$B$61:$B$74,0),MATCH($AA$60,$A$61:$H$61,0))*고양시_Modal_split!O$3 * 0.01</f>
        <v>1.8906561381656679</v>
      </c>
      <c r="AN68" s="207">
        <f>INDEX($A$61:$H$74,MATCH($L68,$B$61:$B$74,0),MATCH($AA$60,$A$61:$H$61,0))*고양시_Modal_split!P$3 * 0.01</f>
        <v>1050.3645212031488</v>
      </c>
      <c r="AO68" s="303">
        <f>INDEX($A$61:$H$74,MATCH($L68,$B$61:$B$74,0),MATCH($AO$60,$A$61:$H$61,0))*고양시_Modal_split!C$3 * 0.01</f>
        <v>0.13036177920171285</v>
      </c>
      <c r="AP68" s="303">
        <f>INDEX($A$61:$H$74,MATCH($L68,$B$61:$B$74,0),MATCH($AO$60,$A$61:$H$61,0))*고양시_Modal_split!D$3 * 0.01</f>
        <v>21.896123128059131</v>
      </c>
      <c r="AQ68" s="303">
        <f>INDEX($A$61:$H$74,MATCH($L68,$B$61:$B$74,0),MATCH($AO$60,$A$61:$H$61,0))*고양시_Modal_split!E$3 * 0.01</f>
        <v>2.6491375844919509</v>
      </c>
      <c r="AR68" s="303">
        <f>INDEX($A$61:$H$74,MATCH($L68,$B$61:$B$74,0),MATCH($AO$60,$A$61:$H$61,0))*고양시_Modal_split!F$3 * 0.01</f>
        <v>4.2693482688560964</v>
      </c>
      <c r="AS68" s="303">
        <f>INDEX($A$61:$H$74,MATCH($L68,$B$61:$B$74,0),MATCH($AO$60,$A$61:$H$61,0))*고양시_Modal_split!G$3 * 0.01</f>
        <v>0.42833156023419938</v>
      </c>
      <c r="AT68" s="303">
        <f>INDEX($A$61:$H$74,MATCH($L68,$B$61:$B$74,0),MATCH($AO$60,$A$61:$H$61,0))*고양시_Modal_split!H$3 * 0.01</f>
        <v>4.6557778286326033E-3</v>
      </c>
      <c r="AU68" s="303">
        <f>INDEX($A$61:$H$74,MATCH($L68,$B$61:$B$74,0),MATCH($AO$60,$A$61:$H$61,0))*고양시_Modal_split!I$3 * 0.01</f>
        <v>1.2943062363598634</v>
      </c>
      <c r="AV68" s="303">
        <f>INDEX($A$61:$H$74,MATCH($L68,$B$61:$B$74,0),MATCH($AO$60,$A$61:$H$61,0))*고양시_Modal_split!J$3 * 0.01</f>
        <v>14.172187710357644</v>
      </c>
      <c r="AW68" s="303">
        <f>INDEX($A$61:$H$74,MATCH($L68,$B$61:$B$74,0),MATCH($AO$60,$A$61:$H$61,0))*고양시_Modal_split!K$3 * 0.01</f>
        <v>6.9836667429489033E-2</v>
      </c>
      <c r="AX68" s="303">
        <f>INDEX($A$61:$H$74,MATCH($L68,$B$61:$B$74,0),MATCH($AO$60,$A$61:$H$61,0))*고양시_Modal_split!L$3 * 0.01</f>
        <v>1.4060449042470462</v>
      </c>
      <c r="AY68" s="303">
        <f>INDEX($A$61:$H$74,MATCH($L68,$B$61:$B$74,0),MATCH($AO$60,$A$61:$H$61,0))*고양시_Modal_split!M$3 * 0.01</f>
        <v>0.10708289005854985</v>
      </c>
      <c r="AZ68" s="303">
        <f>INDEX($A$61:$H$74,MATCH($L68,$B$61:$B$74,0),MATCH($AO$60,$A$61:$H$61,0))*고양시_Modal_split!N$3 * 0.01</f>
        <v>4.6557778286326033E-2</v>
      </c>
      <c r="BA68" s="207">
        <f>INDEX($A$61:$H$74,MATCH($L68,$B$61:$B$74,0),MATCH($AO$60,$A$61:$H$61,0))*고양시_Modal_split!O$3 * 0.01</f>
        <v>8.3804000915386839E-2</v>
      </c>
      <c r="BB68" s="207">
        <f>INDEX($A$61:$H$74,MATCH($L68,$B$61:$B$74,0),MATCH($AO$60,$A$61:$H$61,0))*고양시_Modal_split!P$3 * 0.01</f>
        <v>46.557778286326027</v>
      </c>
      <c r="BC68" s="207">
        <f>INDEX($A$61:$H$74,MATCH($L68,$B$61:$B$74,0),MATCH($BC$60,$A$61:$H$61,0))*고양시_Modal_split!C$3 * 0.01</f>
        <v>3.535234690215955E-4</v>
      </c>
      <c r="BD68" s="207">
        <f>INDEX($A$61:$H$74,MATCH($L68,$B$61:$B$74,0),MATCH($BC$60,$A$61:$H$61,0))*고양시_Modal_split!D$3 * 0.01</f>
        <v>5.9379316957448705E-2</v>
      </c>
      <c r="BE68" s="207">
        <f>INDEX($A$61:$H$74,MATCH($L68,$B$61:$B$74,0),MATCH($BC$60,$A$61:$H$61,0))*고양시_Modal_split!E$3 * 0.01</f>
        <v>7.1841019240459934E-3</v>
      </c>
      <c r="BF68" s="207">
        <f>INDEX($A$61:$H$74,MATCH($L68,$B$61:$B$74,0),MATCH($BC$60,$A$61:$H$61,0))*고양시_Modal_split!F$3 * 0.01</f>
        <v>1.1577893610457253E-2</v>
      </c>
      <c r="BG68" s="207">
        <f>INDEX($A$61:$H$74,MATCH($L68,$B$61:$B$74,0),MATCH($BC$60,$A$61:$H$61,0))*고양시_Modal_split!G$3 * 0.01</f>
        <v>1.1615771124995281E-3</v>
      </c>
      <c r="BH68" s="207">
        <f>INDEX($A$61:$H$74,MATCH($L68,$B$61:$B$74,0),MATCH($BC$60,$A$61:$H$61,0))*고양시_Modal_split!H$3 * 0.01</f>
        <v>1.2625838179342697E-5</v>
      </c>
      <c r="BI68" s="207">
        <f>INDEX($A$61:$H$74,MATCH($L68,$B$61:$B$74,0),MATCH($BC$60,$A$61:$H$61,0))*고양시_Modal_split!I$3 * 0.01</f>
        <v>3.5099830138572699E-3</v>
      </c>
      <c r="BJ68" s="207">
        <f>INDEX($A$61:$H$74,MATCH($L68,$B$61:$B$74,0),MATCH($BC$60,$A$61:$H$61,0))*고양시_Modal_split!J$3 * 0.01</f>
        <v>3.8433051417919167E-2</v>
      </c>
      <c r="BK68" s="207">
        <f>INDEX($A$61:$H$74,MATCH($L68,$B$61:$B$74,0),MATCH($BC$60,$A$61:$H$61,0))*고양시_Modal_split!K$3 * 0.01</f>
        <v>1.8938757269014044E-4</v>
      </c>
      <c r="BL68" s="207">
        <f>INDEX($A$61:$H$74,MATCH($L68,$B$61:$B$74,0),MATCH($BC$60,$A$61:$H$61,0))*고양시_Modal_split!L$3 * 0.01</f>
        <v>3.8130031301614941E-3</v>
      </c>
      <c r="BM68" s="207">
        <f>INDEX($A$61:$H$74,MATCH($L68,$B$61:$B$74,0),MATCH($BC$60,$A$61:$H$61,0))*고양시_Modal_split!M$3 * 0.01</f>
        <v>2.9039427812488204E-4</v>
      </c>
      <c r="BN68" s="207">
        <f>INDEX($A$61:$H$74,MATCH($L68,$B$61:$B$74,0),MATCH($BC$60,$A$61:$H$61,0))*고양시_Modal_split!N$3 * 0.01</f>
        <v>1.2625838179342697E-4</v>
      </c>
      <c r="BO68" s="207">
        <f>INDEX($A$61:$H$74,MATCH($L68,$B$61:$B$74,0),MATCH($BC$60,$A$61:$H$61,0))*고양시_Modal_split!O$3 * 0.01</f>
        <v>2.2726508722816855E-4</v>
      </c>
      <c r="BP68" s="207">
        <f>INDEX($A$61:$H$74,MATCH($L68,$B$61:$B$74,0),MATCH($BC$60,$A$61:$H$61,0))*고양시_Modal_split!P$3 * 0.01</f>
        <v>0.12625838179342697</v>
      </c>
      <c r="BQ68" s="207">
        <f>INDEX($A$61:$H$74,MATCH($L68,$B$61:$B$74,0),MATCH($BQ$60,$A$61:$H$61,0))*고양시_Modal_split!C$3 * 0.01</f>
        <v>1.0016498288945154E-3</v>
      </c>
      <c r="BR68" s="207">
        <f>INDEX($A$61:$H$74,MATCH($L68,$B$61:$B$74,0),MATCH($BQ$60,$A$61:$H$61,0))*고양시_Modal_split!D$3 * 0.01</f>
        <v>0.16824139804610383</v>
      </c>
      <c r="BS68" s="207">
        <f>INDEX($A$61:$H$74,MATCH($L68,$B$61:$B$74,0),MATCH($BQ$60,$A$61:$H$61,0))*고양시_Modal_split!E$3 * 0.01</f>
        <v>2.0354955451463548E-2</v>
      </c>
      <c r="BT68" s="207">
        <f>INDEX($A$61:$H$74,MATCH($L68,$B$61:$B$74,0),MATCH($BQ$60,$A$61:$H$61,0))*고양시_Modal_split!F$3 * 0.01</f>
        <v>3.2804031896295383E-2</v>
      </c>
      <c r="BU68" s="207">
        <f>INDEX($A$61:$H$74,MATCH($L68,$B$61:$B$74,0),MATCH($BQ$60,$A$61:$H$61,0))*고양시_Modal_split!G$3 * 0.01</f>
        <v>3.2911351520819795E-3</v>
      </c>
      <c r="BV68" s="207">
        <f>INDEX($A$61:$H$74,MATCH($L68,$B$61:$B$74,0),MATCH($BQ$60,$A$61:$H$61,0))*고양시_Modal_split!H$3 * 0.01</f>
        <v>3.5773208174804128E-5</v>
      </c>
      <c r="BW68" s="207">
        <f>INDEX($A$61:$H$74,MATCH($L68,$B$61:$B$74,0),MATCH($BQ$60,$A$61:$H$61,0))*고양시_Modal_split!I$3 * 0.01</f>
        <v>9.9449518725955467E-3</v>
      </c>
      <c r="BX68" s="207">
        <f>INDEX($A$61:$H$74,MATCH($L68,$B$61:$B$74,0),MATCH($BQ$60,$A$61:$H$61,0))*고양시_Modal_split!J$3 * 0.01</f>
        <v>0.10889364568410377</v>
      </c>
      <c r="BY68" s="207">
        <f>INDEX($A$61:$H$74,MATCH($L68,$B$61:$B$74,0),MATCH($BQ$60,$A$61:$H$61,0))*고양시_Modal_split!K$3 * 0.01</f>
        <v>5.3659812262206192E-4</v>
      </c>
      <c r="BZ68" s="207">
        <f>INDEX($A$61:$H$74,MATCH($L68,$B$61:$B$74,0),MATCH($BQ$60,$A$61:$H$61,0))*고양시_Modal_split!L$3 * 0.01</f>
        <v>1.0803508868790848E-2</v>
      </c>
      <c r="CA68" s="207">
        <f>INDEX($A$61:$H$74,MATCH($L68,$B$61:$B$74,0),MATCH($BQ$60,$A$61:$H$61,0))*고양시_Modal_split!M$3 * 0.01</f>
        <v>8.2278378802049489E-4</v>
      </c>
      <c r="CB68" s="207">
        <f>INDEX($A$61:$H$74,MATCH($L68,$B$61:$B$74,0),MATCH($BQ$60,$A$61:$H$61,0))*고양시_Modal_split!N$3 * 0.01</f>
        <v>3.5773208174804132E-4</v>
      </c>
      <c r="CC68" s="207">
        <f>INDEX($A$61:$H$74,MATCH($L68,$B$61:$B$74,0),MATCH($BQ$60,$A$61:$H$61,0))*고양시_Modal_split!O$3 * 0.01</f>
        <v>6.4391774714647428E-4</v>
      </c>
      <c r="CD68" s="207">
        <f>INDEX($A$61:$H$74,MATCH($L68,$B$61:$B$74,0),MATCH($BQ$60,$A$61:$H$61,0))*고양시_Modal_split!P$3 * 0.01</f>
        <v>0.35773208174804128</v>
      </c>
      <c r="CE68" s="304">
        <f t="shared" si="31"/>
        <v>3.4509488031433802</v>
      </c>
      <c r="CF68" s="304">
        <f t="shared" si="13"/>
        <v>579.63615075654707</v>
      </c>
      <c r="CG68" s="304">
        <f t="shared" si="14"/>
        <v>70.128209606735112</v>
      </c>
      <c r="CH68" s="304">
        <f t="shared" si="15"/>
        <v>113.0185733029457</v>
      </c>
      <c r="CI68" s="304">
        <f t="shared" si="16"/>
        <v>11.33883178175682</v>
      </c>
      <c r="CJ68" s="304">
        <f t="shared" si="17"/>
        <v>0.12324817154083503</v>
      </c>
      <c r="CK68" s="304">
        <f t="shared" si="18"/>
        <v>34.262991688352137</v>
      </c>
      <c r="CL68" s="304">
        <f t="shared" si="19"/>
        <v>375.16743417030182</v>
      </c>
      <c r="CM68" s="304">
        <f t="shared" si="20"/>
        <v>1.848722573112525</v>
      </c>
      <c r="CN68" s="304">
        <f t="shared" si="21"/>
        <v>37.220947805332173</v>
      </c>
      <c r="CO68" s="304">
        <f t="shared" si="22"/>
        <v>2.834707945439205</v>
      </c>
      <c r="CP68" s="304">
        <f t="shared" si="23"/>
        <v>1.2324817154083503</v>
      </c>
      <c r="CQ68" s="304">
        <f t="shared" si="24"/>
        <v>2.2184670877350303</v>
      </c>
      <c r="CR68" s="304">
        <f t="shared" si="25"/>
        <v>1232.4817154083503</v>
      </c>
      <c r="CS68" s="305">
        <f t="shared" si="32"/>
        <v>0</v>
      </c>
      <c r="CV68" s="267" t="s">
        <v>167</v>
      </c>
      <c r="CW68" s="267" t="s">
        <v>167</v>
      </c>
      <c r="CX68" s="267">
        <f>INDEX($M$60:$Z$74,MATCH($CW68,$L$60:$L$74,0),MATCH(CX$61,$M$61:$Z$61,0))/INDEX(고양시_재차인원!$D$4:$H$35,MATCH("고양시",고양시_재차인원!$B$4:$B$35,0),MATCH($CX$60,고양시_재차인원!$D$4:$H$4,0))</f>
        <v>56.719618385396018</v>
      </c>
      <c r="CY68" s="267">
        <f>INDEX($M$60:$Z$74,MATCH($CW68,$L$60:$L$74,0),MATCH(CY$61,$M$61:$Z$61,0))/INDEX(고양시_재차인원!$K$4:$O$20,MATCH("경기도",고양시_재차인원!$K$4:$K$20,0),MATCH($CY$61,고양시_재차인원!$K$4:$O$4,0))</f>
        <v>4.6917480185944396E-4</v>
      </c>
      <c r="CZ68" s="267">
        <f>INDEX($M$60:$Z$74,MATCH($CW68,$L$60:$L$74,0),MATCH(CZ$61,$M$61:$Z$61,0))/INDEX(고양시_재차인원!$K$4:$O$20,MATCH("경기도",고양시_재차인원!$K$4:$K$20,0),MATCH($CZ$61,고양시_재차인원!$K$4:$O$4,0))</f>
        <v>0.13043059491692541</v>
      </c>
      <c r="DA68" s="267">
        <f>INDEX($M$60:$Z$74,MATCH($CW68,$L$60:$L$74,0),MATCH(DA$61,$M$61:$Z$61,0))/INDEX(고양시_재차인원!$D$4:$H$35,MATCH("고양시",고양시_재차인원!$B$4:$B$35,0),MATCH($CX$60,고양시_재차인원!$D$4:$H$4,0))</f>
        <v>3.6422123649563254</v>
      </c>
      <c r="DB68" s="267">
        <f>INDEX($AA$60:$AN$74,MATCH($CW68,$L$60:$L$74,0),MATCH(DB$61,$AA$61:$AN$61,0))/INDEX(고양시_재차인원!$D$4:$H$35,MATCH("고양시",고양시_재차인원!$B$4:$B$35,0),MATCH($DB$60,고양시_재차인원!$D$4:$H$4,0))</f>
        <v>350.34498888073824</v>
      </c>
      <c r="DC68" s="267">
        <f>INDEX($AA$60:$AN$74,MATCH($CW68,$L$60:$L$74,0),MATCH(DC$61,$AA$61:$AN$61,0))/INDEX(고양시_재차인원!$K$4:$O$20,MATCH("경기도",고양시_재차인원!$K$4:$K$20,0),MATCH($DC$61,고양시_재차인원!$K$4:$O$4,0))</f>
        <v>3.6483658256448383E-3</v>
      </c>
      <c r="DD68" s="267">
        <f>INDEX($AA$60:$AN$74,MATCH($CW68,$L$60:$L$74,0),MATCH(DD$61,$AA$61:$AN$61,0))/INDEX(고양시_재차인원!$K$4:$O$20,MATCH("경기도",고양시_재차인원!$K$4:$K$20,0),MATCH($DD$61,고양시_재차인원!$K$4:$O$4,0))</f>
        <v>1.014245699529265</v>
      </c>
      <c r="DE68" s="267">
        <f>INDEX($AA$60:$AN$74,MATCH($CW68,$L$60:$L$74,0),MATCH(DE$61,$AA$61:$AN$61,0))/INDEX(고양시_재차인원!$D$4:$H$35,MATCH("고양시",고양시_재차인원!$B$4:$B$35,0),MATCH($DB$60,고양시_재차인원!$D$4:$H$4,0))</f>
        <v>22.49716917754262</v>
      </c>
      <c r="DF68" s="267">
        <f>INDEX($AO$60:$BB$74,MATCH($CW68,$L$60:$L$74,0),MATCH(DF$61,$AO$61:$BB$61,0))/INDEX(고양시_재차인원!$D$4:$H$35,MATCH("고양시",고양시_재차인원!$B$4:$B$35,0),MATCH($DF$60,고양시_재차인원!$D$4:$H$4,0))</f>
        <v>16.843171636968563</v>
      </c>
      <c r="DG68" s="267">
        <f>INDEX($AO$60:$BB$74,MATCH($CW68,$L$60:$L$74,0),MATCH(DG$61,$AO$61:$BB$61,0))/INDEX(고양시_재차인원!$K$4:$O$20,MATCH("경기도",고양시_재차인원!$K$4:$K$20,0),MATCH($DG$61,고양시_재차인원!$K$4:$O$4,0))</f>
        <v>1.6171510346066703E-4</v>
      </c>
      <c r="DH68" s="267">
        <f>INDEX($AO$60:$BB$74,MATCH($CW68,$L$60:$L$74,0),MATCH(DH$61,$AO$61:$BB$61,0))/INDEX(고양시_재차인원!$K$4:$O$20,MATCH("경기도",고양시_재차인원!$K$4:$K$20,0),MATCH($DH$61,고양시_재차인원!$K$4:$O$4,0))</f>
        <v>4.4956798762065424E-2</v>
      </c>
      <c r="DI68" s="267">
        <f>INDEX($AO$60:$BB$74,MATCH($CW68,$L$60:$L$74,0),MATCH(DI$61,$AO$61:$BB$61,0))/INDEX(고양시_재차인원!$D$4:$H$35,MATCH("고양시",고양시_재차인원!$B$4:$B$35,0),MATCH($DF$60,고양시_재차인원!$D$4:$H$4,0))</f>
        <v>1.0815730032669586</v>
      </c>
      <c r="DJ68" s="267">
        <f>INDEX($BC$60:$BP$74,MATCH($CW68,$L$60:$L$74,0),MATCH(DJ$61,$BC$61:$BP$61,0))/INDEX(고양시_재차인원!$D$4:$H$35,MATCH("고양시",고양시_재차인원!$B$4:$B$35,0),MATCH($DJ$60,고양시_재차인원!$D$4:$H$4,0))</f>
        <v>4.3661262468712277E-2</v>
      </c>
      <c r="DK68" s="267">
        <f>INDEX($BC$60:$BP$74,MATCH($CW68,$L$60:$L$74,0),MATCH(DK$61,$BC$61:$BP$61,0))/INDEX(고양시_재차인원!$K$4:$O$20,MATCH("경기도",고양시_재차인원!$K$4:$K$20,0),MATCH($DK$61,고양시_재차인원!$K$4:$O$4,0))</f>
        <v>4.3854943311367481E-7</v>
      </c>
      <c r="DL68" s="267">
        <f>INDEX($BC$60:$BP$74,MATCH($CW68,$L$60:$L$74,0),MATCH(DL$61,$BC$61:$BP$61,0))/INDEX(고양시_재차인원!$K$4:$O$20,MATCH("경기도",고양시_재차인원!$K$4:$K$20,0),MATCH($DL$61,고양시_재차인원!$K$4:$O$4,0))</f>
        <v>1.219167424056016E-4</v>
      </c>
      <c r="DM68" s="267">
        <f>INDEX($BC$60:$BP$74,MATCH($CW68,$L$60:$L$74,0),MATCH(DM$61,$BC$61:$BP$61,0))/INDEX(고양시_재차인원!$D$4:$H$35,MATCH("고양시",고양시_재차인원!$B$4:$B$35,0),MATCH($DJ$60,고양시_재차인원!$D$4:$H$4,0))</f>
        <v>2.8036787721775688E-3</v>
      </c>
      <c r="DN68" s="267">
        <f>INDEX($BQ$60:$CD$74,MATCH($CW68,$L$60:$L$74,0),MATCH(DN$61,$BQ$61:$CD$61,0))/INDEX(고양시_재차인원!$D$4:$H$35,MATCH("고양시",고양시_재차인원!$B$4:$B$35,0),MATCH($DN$60,고양시_재차인원!$D$4:$H$4,0))</f>
        <v>0.13352491908420938</v>
      </c>
      <c r="DO68" s="267">
        <f>INDEX($BQ$60:$CD$74,MATCH($CW68,$L$60:$L$74,0),MATCH(DO$61,$BQ$61:$CD$61,0))/INDEX(고양시_재차인원!$K$4:$O$20,MATCH("경기도",고양시_재차인원!$K$4:$K$20,0),MATCH($DO$61,고양시_재차인원!$K$4:$O$4,0))</f>
        <v>1.2425567271554056E-6</v>
      </c>
      <c r="DP68" s="267">
        <f>INDEX($BQ$60:$CD$74,MATCH($CW68,$L$60:$L$74,0),MATCH(DP$61,$BQ$61:$CD$61,0))/INDEX(고양시_재차인원!$K$4:$O$20,MATCH("경기도",고양시_재차인원!$K$4:$K$20,0),MATCH($DP$61,고양시_재차인원!$K$4:$O$4,0))</f>
        <v>3.4543077014920274E-4</v>
      </c>
      <c r="DQ68" s="267">
        <f>INDEX($BQ$60:$CD$74,MATCH($CW68,$L$60:$L$74,0),MATCH(DQ$61,$BQ$61:$CD$61,0))/INDEX(고양시_재차인원!$D$4:$H$35,MATCH("고양시",고양시_재차인원!$B$4:$B$35,0),MATCH($DN$60,고양시_재차인원!$D$4:$H$4,0))</f>
        <v>8.574213387929245E-3</v>
      </c>
      <c r="DR68" s="270">
        <f t="shared" si="33"/>
        <v>424.08496508465578</v>
      </c>
      <c r="DS68" s="270">
        <f t="shared" si="26"/>
        <v>4.280936837125218E-3</v>
      </c>
      <c r="DT68" s="270">
        <f t="shared" si="27"/>
        <v>1.1901004407208104</v>
      </c>
      <c r="DU68" s="270">
        <f t="shared" si="28"/>
        <v>27.232332437926011</v>
      </c>
      <c r="DW68" s="278" t="s">
        <v>167</v>
      </c>
      <c r="DX68" s="278" t="s">
        <v>167</v>
      </c>
      <c r="DY68" s="281">
        <f t="shared" si="41"/>
        <v>451.31729752258178</v>
      </c>
      <c r="DZ68" s="281">
        <f t="shared" si="42"/>
        <v>1.1943813775579357</v>
      </c>
      <c r="EB68" s="278" t="s">
        <v>168</v>
      </c>
      <c r="EC68" s="278" t="s">
        <v>168</v>
      </c>
      <c r="ED68" s="281">
        <f>DY69</f>
        <v>1713.8774278827257</v>
      </c>
      <c r="EE68" s="281">
        <f t="shared" ref="EE68:EE73" si="44">DZ69</f>
        <v>4.5356632562429056</v>
      </c>
      <c r="EK68" s="420" t="s">
        <v>168</v>
      </c>
      <c r="EL68" s="420" t="s">
        <v>168</v>
      </c>
      <c r="EM68" s="420" t="s">
        <v>570</v>
      </c>
      <c r="EN68" s="420">
        <v>63163.374600000003</v>
      </c>
      <c r="EO68" s="420">
        <v>0.3749310795992149</v>
      </c>
      <c r="EP68" s="421">
        <v>849007</v>
      </c>
      <c r="EQ68" s="422">
        <f t="shared" si="37"/>
        <v>624.27221577819728</v>
      </c>
      <c r="ER68" s="422">
        <f t="shared" si="38"/>
        <v>1.6520951294028363</v>
      </c>
      <c r="ES68">
        <v>0</v>
      </c>
      <c r="EU68" s="306" t="s">
        <v>168</v>
      </c>
      <c r="EV68" s="306" t="s">
        <v>168</v>
      </c>
      <c r="EW68" s="306" t="s">
        <v>570</v>
      </c>
      <c r="EX68" s="306">
        <v>63163.374600000003</v>
      </c>
      <c r="EY68" s="306">
        <v>0.3749310795992149</v>
      </c>
      <c r="EZ68" s="307">
        <v>849007</v>
      </c>
      <c r="FA68" s="308">
        <f t="shared" si="39"/>
        <v>624.27221577819728</v>
      </c>
      <c r="FB68" s="308">
        <f t="shared" si="30"/>
        <v>1.6520951294028363</v>
      </c>
      <c r="FD68" s="101"/>
      <c r="FE68" s="101"/>
      <c r="FF68" s="101"/>
      <c r="FG68" s="101"/>
      <c r="FH68" s="101"/>
      <c r="FI68" s="374"/>
      <c r="FJ68" s="404"/>
      <c r="FK68" s="404"/>
    </row>
    <row r="69" spans="1:167">
      <c r="A69" s="205" t="s">
        <v>168</v>
      </c>
      <c r="B69" s="205" t="s">
        <v>168</v>
      </c>
      <c r="C69" s="201">
        <f>$L36*KTDB_TripDistribution_2025!L$12</f>
        <v>512.94892533554901</v>
      </c>
      <c r="D69" s="201">
        <f>$L36*KTDB_TripDistribution_2025!M$12</f>
        <v>3988.75924725409</v>
      </c>
      <c r="E69" s="201">
        <f>$L36*KTDB_TripDistribution_2025!N$12</f>
        <v>176.80316206650627</v>
      </c>
      <c r="F69" s="201">
        <f>$L36*KTDB_TripDistribution_2025!O$12</f>
        <v>0.47946620221425607</v>
      </c>
      <c r="G69" s="201">
        <f>$L36*KTDB_TripDistribution_2025!P$12</f>
        <v>1.3584875729403854</v>
      </c>
      <c r="H69" s="201">
        <f>$L36*KTDB_TripDistribution_2025!Q$12</f>
        <v>4680.3492884313</v>
      </c>
      <c r="I69" s="56"/>
      <c r="J69" s="56"/>
      <c r="K69" s="206" t="s">
        <v>168</v>
      </c>
      <c r="L69" s="206" t="s">
        <v>168</v>
      </c>
      <c r="M69" s="206">
        <f>INDEX($A$61:$H$74,MATCH($L69,$B$61:$B$74,0),MATCH($M$60,$A$61:$H$61,0))*고양시_Modal_split!C$3 * 0.01</f>
        <v>1.4362569909395371</v>
      </c>
      <c r="N69" s="206">
        <f>INDEX($A$61:$H$74,MATCH($L69,$B$61:$B$74,0),MATCH($M$60,$A$61:$H$61,0))*고양시_Modal_split!D$3 * 0.01</f>
        <v>241.2398795853087</v>
      </c>
      <c r="O69" s="206">
        <f>INDEX($A$61:$H$74,MATCH($L69,$B$61:$B$74,0),MATCH($M$60,$A$61:$H$61,0))*고양시_Modal_split!E$3 * 0.01</f>
        <v>29.186793851592739</v>
      </c>
      <c r="P69" s="206">
        <f>INDEX($A$61:$H$74,MATCH($L69,$B$61:$B$74,0),MATCH($M$60,$A$61:$H$61,0))*고양시_Modal_split!F$3 * 0.01</f>
        <v>47.037416453269842</v>
      </c>
      <c r="Q69" s="206">
        <f>INDEX($A$61:$H$74,MATCH($L69,$B$61:$B$74,0),MATCH($M$60,$A$61:$H$61,0))*고양시_Modal_split!G$3 * 0.01</f>
        <v>4.7191301130870507</v>
      </c>
      <c r="R69" s="206">
        <f>INDEX($A$61:$H$74,MATCH($L69,$B$61:$B$74,0),MATCH($M$60,$A$61:$H$61,0))*고양시_Modal_split!H$3 * 0.01</f>
        <v>5.1294892533554903E-2</v>
      </c>
      <c r="S69" s="206">
        <f>INDEX($A$61:$H$74,MATCH($L69,$B$61:$B$74,0),MATCH($M$60,$A$61:$H$61,0))*고양시_Modal_split!I$3 * 0.01</f>
        <v>14.25998012432826</v>
      </c>
      <c r="T69" s="206">
        <f>INDEX($A$61:$H$74,MATCH($L69,$B$61:$B$74,0),MATCH($M$60,$A$61:$H$61,0))*고양시_Modal_split!J$3 * 0.01</f>
        <v>156.14165287214112</v>
      </c>
      <c r="U69" s="206">
        <f>INDEX($A$61:$H$74,MATCH($L69,$B$61:$B$74,0),MATCH($M$60,$A$61:$H$61,0))*고양시_Modal_split!K$3 * 0.01</f>
        <v>0.76942338800332355</v>
      </c>
      <c r="V69" s="206">
        <f>INDEX($A$61:$H$74,MATCH($L69,$B$61:$B$74,0),MATCH($M$60,$A$61:$H$61,0))*고양시_Modal_split!L$3 * 0.01</f>
        <v>15.491057545133581</v>
      </c>
      <c r="W69" s="206">
        <f>INDEX($A$61:$H$74,MATCH($L69,$B$61:$B$74,0),MATCH($M$60,$A$61:$H$61,0))*고양시_Modal_split!M$3 * 0.01</f>
        <v>1.1797825282717627</v>
      </c>
      <c r="X69" s="206">
        <f>INDEX($A$61:$H$74,MATCH($L69,$B$61:$B$74,0),MATCH($M$60,$A$61:$H$61,0))*고양시_Modal_split!N$3 * 0.01</f>
        <v>0.51294892533554903</v>
      </c>
      <c r="Y69" s="206">
        <f>INDEX($A$61:$H$74,MATCH($L69,$B$61:$B$74,0),MATCH($M$60,$A$61:$H$61,0))*고양시_Modal_split!O$3 * 0.01</f>
        <v>0.92330806560398815</v>
      </c>
      <c r="Z69" s="209">
        <f>INDEX($A$61:$H$74,MATCH($L69,$B$61:$B$74,0),MATCH($M$60,$A$61:$H$61,0))*고양시_Modal_split!P$3 * 0.01</f>
        <v>512.94892533554901</v>
      </c>
      <c r="AA69" s="207">
        <f>INDEX($A$61:$H$74,MATCH($L69,$B$61:$B$74,0),MATCH($AA$60,$A$61:$H$61,0))*고양시_Modal_split!C$3 * 0.01</f>
        <v>11.168525892311452</v>
      </c>
      <c r="AB69" s="207">
        <f>INDEX($A$61:$H$74,MATCH($L69,$B$61:$B$74,0),MATCH($AA$60,$A$61:$H$61,0))*고양시_Modal_split!D$3 * 0.01</f>
        <v>1875.9134739835986</v>
      </c>
      <c r="AC69" s="207">
        <f>INDEX($A$61:$H$74,MATCH($L69,$B$61:$B$74,0),MATCH($AA$60,$A$61:$H$61,0))*고양시_Modal_split!E$3 * 0.01</f>
        <v>226.9604011687577</v>
      </c>
      <c r="AD69" s="207">
        <f>INDEX($A$61:$H$74,MATCH($L69,$B$61:$B$74,0),MATCH($AA$60,$A$61:$H$61,0))*고양시_Modal_split!F$3 * 0.01</f>
        <v>365.7692229732001</v>
      </c>
      <c r="AE69" s="207">
        <f>INDEX($A$61:$H$74,MATCH($L69,$B$61:$B$74,0),MATCH($AA$60,$A$61:$H$61,0))*고양시_Modal_split!G$3 * 0.01</f>
        <v>36.696585074737627</v>
      </c>
      <c r="AF69" s="207">
        <f>INDEX($A$61:$H$74,MATCH($L69,$B$61:$B$74,0),MATCH($AA$60,$A$61:$H$61,0))*고양시_Modal_split!H$3 * 0.01</f>
        <v>0.398875924725409</v>
      </c>
      <c r="AG69" s="207">
        <f>INDEX($A$61:$H$74,MATCH($L69,$B$61:$B$74,0),MATCH($AA$60,$A$61:$H$61,0))*고양시_Modal_split!I$3 * 0.01</f>
        <v>110.8875070736637</v>
      </c>
      <c r="AH69" s="207">
        <f>INDEX($A$61:$H$74,MATCH($L69,$B$61:$B$74,0),MATCH($AA$60,$A$61:$H$61,0))*고양시_Modal_split!J$3 * 0.01</f>
        <v>1214.178314864145</v>
      </c>
      <c r="AI69" s="207">
        <f>INDEX($A$61:$H$74,MATCH($L69,$B$61:$B$74,0),MATCH($AA$60,$A$61:$H$61,0))*고양시_Modal_split!K$3 * 0.01</f>
        <v>5.9831388708811346</v>
      </c>
      <c r="AJ69" s="207">
        <f>INDEX($A$61:$H$74,MATCH($L69,$B$61:$B$74,0),MATCH($AA$60,$A$61:$H$61,0))*고양시_Modal_split!L$3 * 0.01</f>
        <v>120.46052926707353</v>
      </c>
      <c r="AK69" s="207">
        <f>INDEX($A$61:$H$74,MATCH($L69,$B$61:$B$74,0),MATCH($AA$60,$A$61:$H$61,0))*고양시_Modal_split!M$3 * 0.01</f>
        <v>9.1741462686844066</v>
      </c>
      <c r="AL69" s="207">
        <f>INDEX($A$61:$H$74,MATCH($L69,$B$61:$B$74,0),MATCH($AA$60,$A$61:$H$61,0))*고양시_Modal_split!N$3 * 0.01</f>
        <v>3.9887592472540905</v>
      </c>
      <c r="AM69" s="207">
        <f>INDEX($A$61:$H$74,MATCH($L69,$B$61:$B$74,0),MATCH($AA$60,$A$61:$H$61,0))*고양시_Modal_split!O$3 * 0.01</f>
        <v>7.1797666450573621</v>
      </c>
      <c r="AN69" s="207">
        <f>INDEX($A$61:$H$74,MATCH($L69,$B$61:$B$74,0),MATCH($AA$60,$A$61:$H$61,0))*고양시_Modal_split!P$3 * 0.01</f>
        <v>3988.75924725409</v>
      </c>
      <c r="AO69" s="303">
        <f>INDEX($A$61:$H$74,MATCH($L69,$B$61:$B$74,0),MATCH($AO$60,$A$61:$H$61,0))*고양시_Modal_split!C$3 * 0.01</f>
        <v>0.49504885378621749</v>
      </c>
      <c r="AP69" s="303">
        <f>INDEX($A$61:$H$74,MATCH($L69,$B$61:$B$74,0),MATCH($AO$60,$A$61:$H$61,0))*고양시_Modal_split!D$3 * 0.01</f>
        <v>83.150527119877893</v>
      </c>
      <c r="AQ69" s="303">
        <f>INDEX($A$61:$H$74,MATCH($L69,$B$61:$B$74,0),MATCH($AO$60,$A$61:$H$61,0))*고양시_Modal_split!E$3 * 0.01</f>
        <v>10.060099921584206</v>
      </c>
      <c r="AR69" s="303">
        <f>INDEX($A$61:$H$74,MATCH($L69,$B$61:$B$74,0),MATCH($AO$60,$A$61:$H$61,0))*고양시_Modal_split!F$3 * 0.01</f>
        <v>16.212849961498627</v>
      </c>
      <c r="AS69" s="303">
        <f>INDEX($A$61:$H$74,MATCH($L69,$B$61:$B$74,0),MATCH($AO$60,$A$61:$H$61,0))*고양시_Modal_split!G$3 * 0.01</f>
        <v>1.6265890910118577</v>
      </c>
      <c r="AT69" s="303">
        <f>INDEX($A$61:$H$74,MATCH($L69,$B$61:$B$74,0),MATCH($AO$60,$A$61:$H$61,0))*고양시_Modal_split!H$3 * 0.01</f>
        <v>1.7680316206650629E-2</v>
      </c>
      <c r="AU69" s="303">
        <f>INDEX($A$61:$H$74,MATCH($L69,$B$61:$B$74,0),MATCH($AO$60,$A$61:$H$61,0))*고양시_Modal_split!I$3 * 0.01</f>
        <v>4.9151279054488741</v>
      </c>
      <c r="AV69" s="303">
        <f>INDEX($A$61:$H$74,MATCH($L69,$B$61:$B$74,0),MATCH($AO$60,$A$61:$H$61,0))*고양시_Modal_split!J$3 * 0.01</f>
        <v>53.818882533044516</v>
      </c>
      <c r="AW69" s="303">
        <f>INDEX($A$61:$H$74,MATCH($L69,$B$61:$B$74,0),MATCH($AO$60,$A$61:$H$61,0))*고양시_Modal_split!K$3 * 0.01</f>
        <v>0.26520474309975944</v>
      </c>
      <c r="AX69" s="303">
        <f>INDEX($A$61:$H$74,MATCH($L69,$B$61:$B$74,0),MATCH($AO$60,$A$61:$H$61,0))*고양시_Modal_split!L$3 * 0.01</f>
        <v>5.3394554944084893</v>
      </c>
      <c r="AY69" s="303">
        <f>INDEX($A$61:$H$74,MATCH($L69,$B$61:$B$74,0),MATCH($AO$60,$A$61:$H$61,0))*고양시_Modal_split!M$3 * 0.01</f>
        <v>0.40664727275296442</v>
      </c>
      <c r="AZ69" s="303">
        <f>INDEX($A$61:$H$74,MATCH($L69,$B$61:$B$74,0),MATCH($AO$60,$A$61:$H$61,0))*고양시_Modal_split!N$3 * 0.01</f>
        <v>0.17680316206650626</v>
      </c>
      <c r="BA69" s="207">
        <f>INDEX($A$61:$H$74,MATCH($L69,$B$61:$B$74,0),MATCH($AO$60,$A$61:$H$61,0))*고양시_Modal_split!O$3 * 0.01</f>
        <v>0.31824569171971129</v>
      </c>
      <c r="BB69" s="207">
        <f>INDEX($A$61:$H$74,MATCH($L69,$B$61:$B$74,0),MATCH($AO$60,$A$61:$H$61,0))*고양시_Modal_split!P$3 * 0.01</f>
        <v>176.80316206650627</v>
      </c>
      <c r="BC69" s="207">
        <f>INDEX($A$61:$H$74,MATCH($L69,$B$61:$B$74,0),MATCH($BC$60,$A$61:$H$61,0))*고양시_Modal_split!C$3 * 0.01</f>
        <v>1.3425053661999167E-3</v>
      </c>
      <c r="BD69" s="207">
        <f>INDEX($A$61:$H$74,MATCH($L69,$B$61:$B$74,0),MATCH($BC$60,$A$61:$H$61,0))*고양시_Modal_split!D$3 * 0.01</f>
        <v>0.22549295490136462</v>
      </c>
      <c r="BE69" s="207">
        <f>INDEX($A$61:$H$74,MATCH($L69,$B$61:$B$74,0),MATCH($BC$60,$A$61:$H$61,0))*고양시_Modal_split!E$3 * 0.01</f>
        <v>2.7281626905991167E-2</v>
      </c>
      <c r="BF69" s="207">
        <f>INDEX($A$61:$H$74,MATCH($L69,$B$61:$B$74,0),MATCH($BC$60,$A$61:$H$61,0))*고양시_Modal_split!F$3 * 0.01</f>
        <v>4.3967050743047284E-2</v>
      </c>
      <c r="BG69" s="207">
        <f>INDEX($A$61:$H$74,MATCH($L69,$B$61:$B$74,0),MATCH($BC$60,$A$61:$H$61,0))*고양시_Modal_split!G$3 * 0.01</f>
        <v>4.411089060371156E-3</v>
      </c>
      <c r="BH69" s="207">
        <f>INDEX($A$61:$H$74,MATCH($L69,$B$61:$B$74,0),MATCH($BC$60,$A$61:$H$61,0))*고양시_Modal_split!H$3 * 0.01</f>
        <v>4.7946620221425614E-5</v>
      </c>
      <c r="BI69" s="207">
        <f>INDEX($A$61:$H$74,MATCH($L69,$B$61:$B$74,0),MATCH($BC$60,$A$61:$H$61,0))*고양시_Modal_split!I$3 * 0.01</f>
        <v>1.3329160421556319E-2</v>
      </c>
      <c r="BJ69" s="207">
        <f>INDEX($A$61:$H$74,MATCH($L69,$B$61:$B$74,0),MATCH($BC$60,$A$61:$H$61,0))*고양시_Modal_split!J$3 * 0.01</f>
        <v>0.14594951195401956</v>
      </c>
      <c r="BK69" s="207">
        <f>INDEX($A$61:$H$74,MATCH($L69,$B$61:$B$74,0),MATCH($BC$60,$A$61:$H$61,0))*고양시_Modal_split!K$3 * 0.01</f>
        <v>7.1919930332138408E-4</v>
      </c>
      <c r="BL69" s="207">
        <f>INDEX($A$61:$H$74,MATCH($L69,$B$61:$B$74,0),MATCH($BC$60,$A$61:$H$61,0))*고양시_Modal_split!L$3 * 0.01</f>
        <v>1.4479879306870534E-2</v>
      </c>
      <c r="BM69" s="207">
        <f>INDEX($A$61:$H$74,MATCH($L69,$B$61:$B$74,0),MATCH($BC$60,$A$61:$H$61,0))*고양시_Modal_split!M$3 * 0.01</f>
        <v>1.102772265092789E-3</v>
      </c>
      <c r="BN69" s="207">
        <f>INDEX($A$61:$H$74,MATCH($L69,$B$61:$B$74,0),MATCH($BC$60,$A$61:$H$61,0))*고양시_Modal_split!N$3 * 0.01</f>
        <v>4.7946620221425609E-4</v>
      </c>
      <c r="BO69" s="207">
        <f>INDEX($A$61:$H$74,MATCH($L69,$B$61:$B$74,0),MATCH($BC$60,$A$61:$H$61,0))*고양시_Modal_split!O$3 * 0.01</f>
        <v>8.6303916398566089E-4</v>
      </c>
      <c r="BP69" s="207">
        <f>INDEX($A$61:$H$74,MATCH($L69,$B$61:$B$74,0),MATCH($BC$60,$A$61:$H$61,0))*고양시_Modal_split!P$3 * 0.01</f>
        <v>0.47946620221425607</v>
      </c>
      <c r="BQ69" s="207">
        <f>INDEX($A$61:$H$74,MATCH($L69,$B$61:$B$74,0),MATCH($BQ$60,$A$61:$H$61,0))*고양시_Modal_split!C$3 * 0.01</f>
        <v>3.803765204233079E-3</v>
      </c>
      <c r="BR69" s="207">
        <f>INDEX($A$61:$H$74,MATCH($L69,$B$61:$B$74,0),MATCH($BQ$60,$A$61:$H$61,0))*고양시_Modal_split!D$3 * 0.01</f>
        <v>0.63889670555386324</v>
      </c>
      <c r="BS69" s="207">
        <f>INDEX($A$61:$H$74,MATCH($L69,$B$61:$B$74,0),MATCH($BQ$60,$A$61:$H$61,0))*고양시_Modal_split!E$3 * 0.01</f>
        <v>7.729794290030792E-2</v>
      </c>
      <c r="BT69" s="207">
        <f>INDEX($A$61:$H$74,MATCH($L69,$B$61:$B$74,0),MATCH($BQ$60,$A$61:$H$61,0))*고양시_Modal_split!F$3 * 0.01</f>
        <v>0.12457331043863334</v>
      </c>
      <c r="BU69" s="207">
        <f>INDEX($A$61:$H$74,MATCH($L69,$B$61:$B$74,0),MATCH($BQ$60,$A$61:$H$61,0))*고양시_Modal_split!G$3 * 0.01</f>
        <v>1.2498085671051545E-2</v>
      </c>
      <c r="BV69" s="207">
        <f>INDEX($A$61:$H$74,MATCH($L69,$B$61:$B$74,0),MATCH($BQ$60,$A$61:$H$61,0))*고양시_Modal_split!H$3 * 0.01</f>
        <v>1.3584875729403853E-4</v>
      </c>
      <c r="BW69" s="207">
        <f>INDEX($A$61:$H$74,MATCH($L69,$B$61:$B$74,0),MATCH($BQ$60,$A$61:$H$61,0))*고양시_Modal_split!I$3 * 0.01</f>
        <v>3.7765954527742708E-2</v>
      </c>
      <c r="BX69" s="207">
        <f>INDEX($A$61:$H$74,MATCH($L69,$B$61:$B$74,0),MATCH($BQ$60,$A$61:$H$61,0))*고양시_Modal_split!J$3 * 0.01</f>
        <v>0.41352361720305331</v>
      </c>
      <c r="BY69" s="207">
        <f>INDEX($A$61:$H$74,MATCH($L69,$B$61:$B$74,0),MATCH($BQ$60,$A$61:$H$61,0))*고양시_Modal_split!K$3 * 0.01</f>
        <v>2.0377313594105782E-3</v>
      </c>
      <c r="BZ69" s="207">
        <f>INDEX($A$61:$H$74,MATCH($L69,$B$61:$B$74,0),MATCH($BQ$60,$A$61:$H$61,0))*고양시_Modal_split!L$3 * 0.01</f>
        <v>4.1026324702799641E-2</v>
      </c>
      <c r="CA69" s="207">
        <f>INDEX($A$61:$H$74,MATCH($L69,$B$61:$B$74,0),MATCH($BQ$60,$A$61:$H$61,0))*고양시_Modal_split!M$3 * 0.01</f>
        <v>3.1245214177628862E-3</v>
      </c>
      <c r="CB69" s="207">
        <f>INDEX($A$61:$H$74,MATCH($L69,$B$61:$B$74,0),MATCH($BQ$60,$A$61:$H$61,0))*고양시_Modal_split!N$3 * 0.01</f>
        <v>1.3584875729403853E-3</v>
      </c>
      <c r="CC69" s="207">
        <f>INDEX($A$61:$H$74,MATCH($L69,$B$61:$B$74,0),MATCH($BQ$60,$A$61:$H$61,0))*고양시_Modal_split!O$3 * 0.01</f>
        <v>2.4452776312926935E-3</v>
      </c>
      <c r="CD69" s="207">
        <f>INDEX($A$61:$H$74,MATCH($L69,$B$61:$B$74,0),MATCH($BQ$60,$A$61:$H$61,0))*고양시_Modal_split!P$3 * 0.01</f>
        <v>1.3584875729403854</v>
      </c>
      <c r="CE69" s="304">
        <f t="shared" si="31"/>
        <v>13.10497800760764</v>
      </c>
      <c r="CF69" s="304">
        <f t="shared" si="13"/>
        <v>2201.1682703492406</v>
      </c>
      <c r="CG69" s="304">
        <f t="shared" si="14"/>
        <v>266.31187451174094</v>
      </c>
      <c r="CH69" s="304">
        <f t="shared" si="15"/>
        <v>429.18802974915025</v>
      </c>
      <c r="CI69" s="304">
        <f t="shared" si="16"/>
        <v>43.059213453567956</v>
      </c>
      <c r="CJ69" s="304">
        <f t="shared" si="17"/>
        <v>0.46803492884313003</v>
      </c>
      <c r="CK69" s="304">
        <f t="shared" si="18"/>
        <v>130.11371021839014</v>
      </c>
      <c r="CL69" s="304">
        <f t="shared" si="19"/>
        <v>1424.6983233984877</v>
      </c>
      <c r="CM69" s="304">
        <f t="shared" si="20"/>
        <v>7.0205239326469497</v>
      </c>
      <c r="CN69" s="304">
        <f t="shared" si="21"/>
        <v>141.34654851062527</v>
      </c>
      <c r="CO69" s="304">
        <f t="shared" si="22"/>
        <v>10.764803363391989</v>
      </c>
      <c r="CP69" s="304">
        <f t="shared" si="23"/>
        <v>4.6803492884312998</v>
      </c>
      <c r="CQ69" s="304">
        <f t="shared" si="24"/>
        <v>8.4246287191763383</v>
      </c>
      <c r="CR69" s="304">
        <f t="shared" si="25"/>
        <v>4680.3492884312991</v>
      </c>
      <c r="CS69" s="305">
        <f t="shared" si="32"/>
        <v>0</v>
      </c>
      <c r="CV69" s="267" t="s">
        <v>168</v>
      </c>
      <c r="CW69" s="267" t="s">
        <v>168</v>
      </c>
      <c r="CX69" s="267">
        <f>INDEX($M$60:$Z$74,MATCH($CW69,$L$60:$L$74,0),MATCH(CX$61,$M$61:$Z$61,0))/INDEX(고양시_재차인원!$D$4:$H$35,MATCH("고양시",고양시_재차인원!$B$4:$B$35,0),MATCH($CX$60,고양시_재차인원!$D$4:$H$4,0))</f>
        <v>215.39274962973988</v>
      </c>
      <c r="CY69" s="267">
        <f>INDEX($M$60:$Z$74,MATCH($CW69,$L$60:$L$74,0),MATCH(CY$61,$M$61:$Z$61,0))/INDEX(고양시_재차인원!$K$4:$O$20,MATCH("경기도",고양시_재차인원!$K$4:$K$20,0),MATCH($CY$61,고양시_재차인원!$K$4:$O$4,0))</f>
        <v>1.7816913002276799E-3</v>
      </c>
      <c r="CZ69" s="267">
        <f>INDEX($M$60:$Z$74,MATCH($CW69,$L$60:$L$74,0),MATCH(CZ$61,$M$61:$Z$61,0))/INDEX(고양시_재차인원!$K$4:$O$20,MATCH("경기도",고양시_재차인원!$K$4:$K$20,0),MATCH($CZ$61,고양시_재차인원!$K$4:$O$4,0))</f>
        <v>0.49531018146329492</v>
      </c>
      <c r="DA69" s="267">
        <f>INDEX($M$60:$Z$74,MATCH($CW69,$L$60:$L$74,0),MATCH(DA$61,$M$61:$Z$61,0))/INDEX(고양시_재차인원!$D$4:$H$35,MATCH("고양시",고양시_재차인원!$B$4:$B$35,0),MATCH($CX$60,고양시_재차인원!$D$4:$H$4,0))</f>
        <v>13.831301379583552</v>
      </c>
      <c r="DB69" s="267">
        <f>INDEX($AA$60:$AN$74,MATCH($CW69,$L$60:$L$74,0),MATCH(DB$61,$AA$61:$AN$61,0))/INDEX(고양시_재차인원!$D$4:$H$35,MATCH("고양시",고양시_재차인원!$B$4:$B$35,0),MATCH($DB$60,고양시_재차인원!$D$4:$H$4,0))</f>
        <v>1330.4350879316303</v>
      </c>
      <c r="DC69" s="267">
        <f>INDEX($AA$60:$AN$74,MATCH($CW69,$L$60:$L$74,0),MATCH(DC$61,$AA$61:$AN$61,0))/INDEX(고양시_재차인원!$K$4:$O$20,MATCH("경기도",고양시_재차인원!$K$4:$K$20,0),MATCH($DC$61,고양시_재차인원!$K$4:$O$4,0))</f>
        <v>1.3854669146419208E-2</v>
      </c>
      <c r="DD69" s="267">
        <f>INDEX($AA$60:$AN$74,MATCH($CW69,$L$60:$L$74,0),MATCH(DD$61,$AA$61:$AN$61,0))/INDEX(고양시_재차인원!$K$4:$O$20,MATCH("경기도",고양시_재차인원!$K$4:$K$20,0),MATCH($DD$61,고양시_재차인원!$K$4:$O$4,0))</f>
        <v>3.8515980227045397</v>
      </c>
      <c r="DE69" s="267">
        <f>INDEX($AA$60:$AN$74,MATCH($CW69,$L$60:$L$74,0),MATCH(DE$61,$AA$61:$AN$61,0))/INDEX(고양시_재차인원!$D$4:$H$35,MATCH("고양시",고양시_재차인원!$B$4:$B$35,0),MATCH($DB$60,고양시_재차인원!$D$4:$H$4,0))</f>
        <v>85.432999480193999</v>
      </c>
      <c r="DF69" s="267">
        <f>INDEX($AO$60:$BB$74,MATCH($CW69,$L$60:$L$74,0),MATCH(DF$61,$AO$61:$BB$61,0))/INDEX(고양시_재차인원!$D$4:$H$35,MATCH("고양시",고양시_재차인원!$B$4:$B$35,0),MATCH($DF$60,고양시_재차인원!$D$4:$H$4,0))</f>
        <v>63.961943938367611</v>
      </c>
      <c r="DG69" s="267">
        <f>INDEX($AO$60:$BB$74,MATCH($CW69,$L$60:$L$74,0),MATCH(DG$61,$AO$61:$BB$61,0))/INDEX(고양시_재차인원!$K$4:$O$20,MATCH("경기도",고양시_재차인원!$K$4:$K$20,0),MATCH($DG$61,고양시_재차인원!$K$4:$O$4,0))</f>
        <v>6.1411310200245326E-4</v>
      </c>
      <c r="DH69" s="267">
        <f>INDEX($AO$60:$BB$74,MATCH($CW69,$L$60:$L$74,0),MATCH(DH$61,$AO$61:$BB$61,0))/INDEX(고양시_재차인원!$K$4:$O$20,MATCH("경기도",고양시_재차인원!$K$4:$K$20,0),MATCH($DH$61,고양시_재차인원!$K$4:$O$4,0))</f>
        <v>0.17072344235668199</v>
      </c>
      <c r="DI69" s="267">
        <f>INDEX($AO$60:$BB$74,MATCH($CW69,$L$60:$L$74,0),MATCH(DI$61,$AO$61:$BB$61,0))/INDEX(고양시_재차인원!$D$4:$H$35,MATCH("고양시",고양시_재차인원!$B$4:$B$35,0),MATCH($DF$60,고양시_재차인원!$D$4:$H$4,0))</f>
        <v>4.1072734572372998</v>
      </c>
      <c r="DJ69" s="267">
        <f>INDEX($BC$60:$BP$74,MATCH($CW69,$L$60:$L$74,0),MATCH(DJ$61,$BC$61:$BP$61,0))/INDEX(고양시_재차인원!$D$4:$H$35,MATCH("고양시",고양시_재차인원!$B$4:$B$35,0),MATCH($DJ$60,고양시_재차인원!$D$4:$H$4,0))</f>
        <v>0.16580364330982691</v>
      </c>
      <c r="DK69" s="267">
        <f>INDEX($BC$60:$BP$74,MATCH($CW69,$L$60:$L$74,0),MATCH(DK$61,$BC$61:$BP$61,0))/INDEX(고양시_재차인원!$K$4:$O$20,MATCH("경기도",고양시_재차인원!$K$4:$K$20,0),MATCH($DK$61,고양시_재차인원!$K$4:$O$4,0))</f>
        <v>1.6653914630575066E-6</v>
      </c>
      <c r="DL69" s="267">
        <f>INDEX($BC$60:$BP$74,MATCH($CW69,$L$60:$L$74,0),MATCH(DL$61,$BC$61:$BP$61,0))/INDEX(고양시_재차인원!$K$4:$O$20,MATCH("경기도",고양시_재차인원!$K$4:$K$20,0),MATCH($DL$61,고양시_재차인원!$K$4:$O$4,0))</f>
        <v>4.6297882672998678E-4</v>
      </c>
      <c r="DM69" s="267">
        <f>INDEX($BC$60:$BP$74,MATCH($CW69,$L$60:$L$74,0),MATCH(DM$61,$BC$61:$BP$61,0))/INDEX(고양시_재차인원!$D$4:$H$35,MATCH("고양시",고양시_재차인원!$B$4:$B$35,0),MATCH($DJ$60,고양시_재차인원!$D$4:$H$4,0))</f>
        <v>1.0646970078581274E-2</v>
      </c>
      <c r="DN69" s="267">
        <f>INDEX($BQ$60:$CD$74,MATCH($CW69,$L$60:$L$74,0),MATCH(DN$61,$BQ$61:$CD$61,0))/INDEX(고양시_재차인원!$D$4:$H$35,MATCH("고양시",고양시_재차인원!$B$4:$B$35,0),MATCH($DN$60,고양시_재차인원!$D$4:$H$4,0))</f>
        <v>0.50706087742370098</v>
      </c>
      <c r="DO69" s="267">
        <f>INDEX($BQ$60:$CD$74,MATCH($CW69,$L$60:$L$74,0),MATCH(DO$61,$BQ$61:$CD$61,0))/INDEX(고양시_재차인원!$K$4:$O$20,MATCH("경기도",고양시_재차인원!$K$4:$K$20,0),MATCH($DO$61,고양시_재차인원!$K$4:$O$4,0))</f>
        <v>4.7186091453295776E-6</v>
      </c>
      <c r="DP69" s="267">
        <f>INDEX($BQ$60:$CD$74,MATCH($CW69,$L$60:$L$74,0),MATCH(DP$61,$BQ$61:$CD$61,0))/INDEX(고양시_재차인원!$K$4:$O$20,MATCH("경기도",고양시_재차인원!$K$4:$K$20,0),MATCH($DP$61,고양시_재차인원!$K$4:$O$4,0))</f>
        <v>1.3117733424016225E-3</v>
      </c>
      <c r="DQ69" s="267">
        <f>INDEX($BQ$60:$CD$74,MATCH($CW69,$L$60:$L$74,0),MATCH(DQ$61,$BQ$61:$CD$61,0))/INDEX(고양시_재차인원!$D$4:$H$35,MATCH("고양시",고양시_재차인원!$B$4:$B$35,0),MATCH($DN$60,고양시_재차인원!$D$4:$H$4,0))</f>
        <v>3.2560575160952093E-2</v>
      </c>
      <c r="DR69" s="270">
        <f t="shared" si="33"/>
        <v>1610.4626460204713</v>
      </c>
      <c r="DS69" s="270">
        <f t="shared" si="26"/>
        <v>1.6256857549257729E-2</v>
      </c>
      <c r="DT69" s="270">
        <f t="shared" si="27"/>
        <v>4.5194063986936479</v>
      </c>
      <c r="DU69" s="270">
        <f t="shared" si="28"/>
        <v>103.41478186225439</v>
      </c>
      <c r="DW69" s="278" t="s">
        <v>168</v>
      </c>
      <c r="DX69" s="278" t="s">
        <v>168</v>
      </c>
      <c r="DY69" s="281">
        <f t="shared" si="41"/>
        <v>1713.8774278827257</v>
      </c>
      <c r="DZ69" s="281">
        <f t="shared" si="42"/>
        <v>4.5356632562429056</v>
      </c>
      <c r="EB69" s="278" t="s">
        <v>47</v>
      </c>
      <c r="EC69" s="278" t="s">
        <v>47</v>
      </c>
      <c r="ED69" s="281">
        <f t="shared" ref="ED69:ED73" si="45">DY70</f>
        <v>260.53727769256045</v>
      </c>
      <c r="EE69" s="281">
        <f t="shared" si="44"/>
        <v>0.68949467335686321</v>
      </c>
      <c r="EK69" s="420" t="s">
        <v>168</v>
      </c>
      <c r="EL69" s="420" t="s">
        <v>168</v>
      </c>
      <c r="EM69" s="420" t="s">
        <v>79</v>
      </c>
      <c r="EN69" s="420">
        <v>36231.236499999999</v>
      </c>
      <c r="EO69" s="420">
        <v>0.21506476976864181</v>
      </c>
      <c r="EP69" s="421">
        <v>849008</v>
      </c>
      <c r="EQ69" s="422">
        <f t="shared" si="37"/>
        <v>358.0897067877512</v>
      </c>
      <c r="ER69" s="422">
        <f t="shared" si="38"/>
        <v>0.94766072479433761</v>
      </c>
      <c r="ES69">
        <v>0</v>
      </c>
      <c r="EU69" s="306" t="s">
        <v>168</v>
      </c>
      <c r="EV69" s="306" t="s">
        <v>168</v>
      </c>
      <c r="EW69" s="306" t="s">
        <v>79</v>
      </c>
      <c r="EX69" s="306">
        <v>36231.236499999999</v>
      </c>
      <c r="EY69" s="306">
        <v>0.21506476976864181</v>
      </c>
      <c r="EZ69" s="307">
        <v>849008</v>
      </c>
      <c r="FA69" s="308">
        <f t="shared" si="39"/>
        <v>358.0897067877512</v>
      </c>
      <c r="FB69" s="308">
        <f t="shared" si="30"/>
        <v>0.94766072479433761</v>
      </c>
      <c r="FD69" s="101"/>
      <c r="FE69" s="101"/>
      <c r="FF69" s="101"/>
      <c r="FG69" s="101"/>
      <c r="FH69" s="101"/>
      <c r="FI69" s="374"/>
      <c r="FJ69" s="404"/>
      <c r="FK69" s="404"/>
    </row>
    <row r="70" spans="1:167" ht="25">
      <c r="A70" s="205" t="s">
        <v>47</v>
      </c>
      <c r="B70" s="205" t="s">
        <v>47</v>
      </c>
      <c r="C70" s="201">
        <f>$L37*KTDB_TripDistribution_2025!L$12</f>
        <v>77.976589473697786</v>
      </c>
      <c r="D70" s="201">
        <f>$L37*KTDB_TripDistribution_2025!M$12</f>
        <v>606.35635824577605</v>
      </c>
      <c r="E70" s="201">
        <f>$L37*KTDB_TripDistribution_2025!N$12</f>
        <v>26.876959683838077</v>
      </c>
      <c r="F70" s="201">
        <f>$L37*KTDB_TripDistribution_2025!O$12</f>
        <v>7.2886670329052675E-2</v>
      </c>
      <c r="G70" s="201">
        <f>$L37*KTDB_TripDistribution_2025!P$12</f>
        <v>0.20651223259898155</v>
      </c>
      <c r="H70" s="201">
        <f>$L37*KTDB_TripDistribution_2025!Q$12</f>
        <v>711.48930630624</v>
      </c>
      <c r="I70" s="56"/>
      <c r="J70" s="56"/>
      <c r="K70" s="206" t="s">
        <v>47</v>
      </c>
      <c r="L70" s="206" t="s">
        <v>47</v>
      </c>
      <c r="M70" s="206">
        <f>INDEX($A$61:$H$74,MATCH($L70,$B$61:$B$74,0),MATCH($M$60,$A$61:$H$61,0))*고양시_Modal_split!C$3 * 0.01</f>
        <v>0.21833445052635378</v>
      </c>
      <c r="N70" s="206">
        <f>INDEX($A$61:$H$74,MATCH($L70,$B$61:$B$74,0),MATCH($M$60,$A$61:$H$61,0))*고양시_Modal_split!D$3 * 0.01</f>
        <v>36.67239002948007</v>
      </c>
      <c r="O70" s="206">
        <f>INDEX($A$61:$H$74,MATCH($L70,$B$61:$B$74,0),MATCH($M$60,$A$61:$H$61,0))*고양시_Modal_split!E$3 * 0.01</f>
        <v>4.4368679410534035</v>
      </c>
      <c r="P70" s="206">
        <f>INDEX($A$61:$H$74,MATCH($L70,$B$61:$B$74,0),MATCH($M$60,$A$61:$H$61,0))*고양시_Modal_split!F$3 * 0.01</f>
        <v>7.1504532547380872</v>
      </c>
      <c r="Q70" s="206">
        <f>INDEX($A$61:$H$74,MATCH($L70,$B$61:$B$74,0),MATCH($M$60,$A$61:$H$61,0))*고양시_Modal_split!G$3 * 0.01</f>
        <v>0.71738462315801954</v>
      </c>
      <c r="R70" s="206">
        <f>INDEX($A$61:$H$74,MATCH($L70,$B$61:$B$74,0),MATCH($M$60,$A$61:$H$61,0))*고양시_Modal_split!H$3 * 0.01</f>
        <v>7.7976589473697788E-3</v>
      </c>
      <c r="S70" s="206">
        <f>INDEX($A$61:$H$74,MATCH($L70,$B$61:$B$74,0),MATCH($M$60,$A$61:$H$61,0))*고양시_Modal_split!I$3 * 0.01</f>
        <v>2.1677491873687984</v>
      </c>
      <c r="T70" s="206">
        <f>INDEX($A$61:$H$74,MATCH($L70,$B$61:$B$74,0),MATCH($M$60,$A$61:$H$61,0))*고양시_Modal_split!J$3 * 0.01</f>
        <v>23.736073835793608</v>
      </c>
      <c r="U70" s="206">
        <f>INDEX($A$61:$H$74,MATCH($L70,$B$61:$B$74,0),MATCH($M$60,$A$61:$H$61,0))*고양시_Modal_split!K$3 * 0.01</f>
        <v>0.11696488421054667</v>
      </c>
      <c r="V70" s="206">
        <f>INDEX($A$61:$H$74,MATCH($L70,$B$61:$B$74,0),MATCH($M$60,$A$61:$H$61,0))*고양시_Modal_split!L$3 * 0.01</f>
        <v>2.3548930021056731</v>
      </c>
      <c r="W70" s="206">
        <f>INDEX($A$61:$H$74,MATCH($L70,$B$61:$B$74,0),MATCH($M$60,$A$61:$H$61,0))*고양시_Modal_split!M$3 * 0.01</f>
        <v>0.17934615578950489</v>
      </c>
      <c r="X70" s="206">
        <f>INDEX($A$61:$H$74,MATCH($L70,$B$61:$B$74,0),MATCH($M$60,$A$61:$H$61,0))*고양시_Modal_split!N$3 * 0.01</f>
        <v>7.7976589473697788E-2</v>
      </c>
      <c r="Y70" s="206">
        <f>INDEX($A$61:$H$74,MATCH($L70,$B$61:$B$74,0),MATCH($M$60,$A$61:$H$61,0))*고양시_Modal_split!O$3 * 0.01</f>
        <v>0.14035786105265602</v>
      </c>
      <c r="Z70" s="209">
        <f>INDEX($A$61:$H$74,MATCH($L70,$B$61:$B$74,0),MATCH($M$60,$A$61:$H$61,0))*고양시_Modal_split!P$3 * 0.01</f>
        <v>77.976589473697786</v>
      </c>
      <c r="AA70" s="207">
        <f>INDEX($A$61:$H$74,MATCH($L70,$B$61:$B$74,0),MATCH($AA$60,$A$61:$H$61,0))*고양시_Modal_split!C$3 * 0.01</f>
        <v>1.6977978030881726</v>
      </c>
      <c r="AB70" s="207">
        <f>INDEX($A$61:$H$74,MATCH($L70,$B$61:$B$74,0),MATCH($AA$60,$A$61:$H$61,0))*고양시_Modal_split!D$3 * 0.01</f>
        <v>285.16939528298849</v>
      </c>
      <c r="AC70" s="207">
        <f>INDEX($A$61:$H$74,MATCH($L70,$B$61:$B$74,0),MATCH($AA$60,$A$61:$H$61,0))*고양시_Modal_split!E$3 * 0.01</f>
        <v>34.50167678418466</v>
      </c>
      <c r="AD70" s="207">
        <f>INDEX($A$61:$H$74,MATCH($L70,$B$61:$B$74,0),MATCH($AA$60,$A$61:$H$61,0))*고양시_Modal_split!F$3 * 0.01</f>
        <v>55.602878051137658</v>
      </c>
      <c r="AE70" s="207">
        <f>INDEX($A$61:$H$74,MATCH($L70,$B$61:$B$74,0),MATCH($AA$60,$A$61:$H$61,0))*고양시_Modal_split!G$3 * 0.01</f>
        <v>5.5784784958611402</v>
      </c>
      <c r="AF70" s="207">
        <f>INDEX($A$61:$H$74,MATCH($L70,$B$61:$B$74,0),MATCH($AA$60,$A$61:$H$61,0))*고양시_Modal_split!H$3 * 0.01</f>
        <v>6.0635635824577608E-2</v>
      </c>
      <c r="AG70" s="207">
        <f>INDEX($A$61:$H$74,MATCH($L70,$B$61:$B$74,0),MATCH($AA$60,$A$61:$H$61,0))*고양시_Modal_split!I$3 * 0.01</f>
        <v>16.856706759232573</v>
      </c>
      <c r="AH70" s="207">
        <f>INDEX($A$61:$H$74,MATCH($L70,$B$61:$B$74,0),MATCH($AA$60,$A$61:$H$61,0))*고양시_Modal_split!J$3 * 0.01</f>
        <v>184.57487545001422</v>
      </c>
      <c r="AI70" s="207">
        <f>INDEX($A$61:$H$74,MATCH($L70,$B$61:$B$74,0),MATCH($AA$60,$A$61:$H$61,0))*고양시_Modal_split!K$3 * 0.01</f>
        <v>0.90953453736866408</v>
      </c>
      <c r="AJ70" s="207">
        <f>INDEX($A$61:$H$74,MATCH($L70,$B$61:$B$74,0),MATCH($AA$60,$A$61:$H$61,0))*고양시_Modal_split!L$3 * 0.01</f>
        <v>18.311962019022438</v>
      </c>
      <c r="AK70" s="207">
        <f>INDEX($A$61:$H$74,MATCH($L70,$B$61:$B$74,0),MATCH($AA$60,$A$61:$H$61,0))*고양시_Modal_split!M$3 * 0.01</f>
        <v>1.394619623965285</v>
      </c>
      <c r="AL70" s="207">
        <f>INDEX($A$61:$H$74,MATCH($L70,$B$61:$B$74,0),MATCH($AA$60,$A$61:$H$61,0))*고양시_Modal_split!N$3 * 0.01</f>
        <v>0.60635635824577605</v>
      </c>
      <c r="AM70" s="207">
        <f>INDEX($A$61:$H$74,MATCH($L70,$B$61:$B$74,0),MATCH($AA$60,$A$61:$H$61,0))*고양시_Modal_split!O$3 * 0.01</f>
        <v>1.091441444842397</v>
      </c>
      <c r="AN70" s="207">
        <f>INDEX($A$61:$H$74,MATCH($L70,$B$61:$B$74,0),MATCH($AA$60,$A$61:$H$61,0))*고양시_Modal_split!P$3 * 0.01</f>
        <v>606.35635824577605</v>
      </c>
      <c r="AO70" s="303">
        <f>INDEX($A$61:$H$74,MATCH($L70,$B$61:$B$74,0),MATCH($AO$60,$A$61:$H$61,0))*고양시_Modal_split!C$3 * 0.01</f>
        <v>7.5255487114746611E-2</v>
      </c>
      <c r="AP70" s="303">
        <f>INDEX($A$61:$H$74,MATCH($L70,$B$61:$B$74,0),MATCH($AO$60,$A$61:$H$61,0))*고양시_Modal_split!D$3 * 0.01</f>
        <v>12.640234139309047</v>
      </c>
      <c r="AQ70" s="303">
        <f>INDEX($A$61:$H$74,MATCH($L70,$B$61:$B$74,0),MATCH($AO$60,$A$61:$H$61,0))*고양시_Modal_split!E$3 * 0.01</f>
        <v>1.5292990060103864</v>
      </c>
      <c r="AR70" s="303">
        <f>INDEX($A$61:$H$74,MATCH($L70,$B$61:$B$74,0),MATCH($AO$60,$A$61:$H$61,0))*고양시_Modal_split!F$3 * 0.01</f>
        <v>2.4646172030079518</v>
      </c>
      <c r="AS70" s="303">
        <f>INDEX($A$61:$H$74,MATCH($L70,$B$61:$B$74,0),MATCH($AO$60,$A$61:$H$61,0))*고양시_Modal_split!G$3 * 0.01</f>
        <v>0.24726802909131029</v>
      </c>
      <c r="AT70" s="303">
        <f>INDEX($A$61:$H$74,MATCH($L70,$B$61:$B$74,0),MATCH($AO$60,$A$61:$H$61,0))*고양시_Modal_split!H$3 * 0.01</f>
        <v>2.6876959683838075E-3</v>
      </c>
      <c r="AU70" s="303">
        <f>INDEX($A$61:$H$74,MATCH($L70,$B$61:$B$74,0),MATCH($AO$60,$A$61:$H$61,0))*고양시_Modal_split!I$3 * 0.01</f>
        <v>0.74717947921069849</v>
      </c>
      <c r="AV70" s="303">
        <f>INDEX($A$61:$H$74,MATCH($L70,$B$61:$B$74,0),MATCH($AO$60,$A$61:$H$61,0))*고양시_Modal_split!J$3 * 0.01</f>
        <v>8.1813465277603115</v>
      </c>
      <c r="AW70" s="303">
        <f>INDEX($A$61:$H$74,MATCH($L70,$B$61:$B$74,0),MATCH($AO$60,$A$61:$H$61,0))*고양시_Modal_split!K$3 * 0.01</f>
        <v>4.031543952575712E-2</v>
      </c>
      <c r="AX70" s="303">
        <f>INDEX($A$61:$H$74,MATCH($L70,$B$61:$B$74,0),MATCH($AO$60,$A$61:$H$61,0))*고양시_Modal_split!L$3 * 0.01</f>
        <v>0.81168418245190999</v>
      </c>
      <c r="AY70" s="303">
        <f>INDEX($A$61:$H$74,MATCH($L70,$B$61:$B$74,0),MATCH($AO$60,$A$61:$H$61,0))*고양시_Modal_split!M$3 * 0.01</f>
        <v>6.1817007272827573E-2</v>
      </c>
      <c r="AZ70" s="303">
        <f>INDEX($A$61:$H$74,MATCH($L70,$B$61:$B$74,0),MATCH($AO$60,$A$61:$H$61,0))*고양시_Modal_split!N$3 * 0.01</f>
        <v>2.6876959683838079E-2</v>
      </c>
      <c r="BA70" s="207">
        <f>INDEX($A$61:$H$74,MATCH($L70,$B$61:$B$74,0),MATCH($AO$60,$A$61:$H$61,0))*고양시_Modal_split!O$3 * 0.01</f>
        <v>4.8378527430908536E-2</v>
      </c>
      <c r="BB70" s="207">
        <f>INDEX($A$61:$H$74,MATCH($L70,$B$61:$B$74,0),MATCH($AO$60,$A$61:$H$61,0))*고양시_Modal_split!P$3 * 0.01</f>
        <v>26.876959683838077</v>
      </c>
      <c r="BC70" s="207">
        <f>INDEX($A$61:$H$74,MATCH($L70,$B$61:$B$74,0),MATCH($BC$60,$A$61:$H$61,0))*고양시_Modal_split!C$3 * 0.01</f>
        <v>2.0408267692134747E-4</v>
      </c>
      <c r="BD70" s="207">
        <f>INDEX($A$61:$H$74,MATCH($L70,$B$61:$B$74,0),MATCH($BC$60,$A$61:$H$61,0))*고양시_Modal_split!D$3 * 0.01</f>
        <v>3.4278601055753477E-2</v>
      </c>
      <c r="BE70" s="207">
        <f>INDEX($A$61:$H$74,MATCH($L70,$B$61:$B$74,0),MATCH($BC$60,$A$61:$H$61,0))*고양시_Modal_split!E$3 * 0.01</f>
        <v>4.1472515417230972E-3</v>
      </c>
      <c r="BF70" s="207">
        <f>INDEX($A$61:$H$74,MATCH($L70,$B$61:$B$74,0),MATCH($BC$60,$A$61:$H$61,0))*고양시_Modal_split!F$3 * 0.01</f>
        <v>6.6837076691741307E-3</v>
      </c>
      <c r="BG70" s="207">
        <f>INDEX($A$61:$H$74,MATCH($L70,$B$61:$B$74,0),MATCH($BC$60,$A$61:$H$61,0))*고양시_Modal_split!G$3 * 0.01</f>
        <v>6.7055736702728455E-4</v>
      </c>
      <c r="BH70" s="207">
        <f>INDEX($A$61:$H$74,MATCH($L70,$B$61:$B$74,0),MATCH($BC$60,$A$61:$H$61,0))*고양시_Modal_split!H$3 * 0.01</f>
        <v>7.2886670329052673E-6</v>
      </c>
      <c r="BI70" s="207">
        <f>INDEX($A$61:$H$74,MATCH($L70,$B$61:$B$74,0),MATCH($BC$60,$A$61:$H$61,0))*고양시_Modal_split!I$3 * 0.01</f>
        <v>2.0262494351476644E-3</v>
      </c>
      <c r="BJ70" s="207">
        <f>INDEX($A$61:$H$74,MATCH($L70,$B$61:$B$74,0),MATCH($BC$60,$A$61:$H$61,0))*고양시_Modal_split!J$3 * 0.01</f>
        <v>2.2186702448163637E-2</v>
      </c>
      <c r="BK70" s="207">
        <f>INDEX($A$61:$H$74,MATCH($L70,$B$61:$B$74,0),MATCH($BC$60,$A$61:$H$61,0))*고양시_Modal_split!K$3 * 0.01</f>
        <v>1.0933000549357902E-4</v>
      </c>
      <c r="BL70" s="207">
        <f>INDEX($A$61:$H$74,MATCH($L70,$B$61:$B$74,0),MATCH($BC$60,$A$61:$H$61,0))*고양시_Modal_split!L$3 * 0.01</f>
        <v>2.2011774439373907E-3</v>
      </c>
      <c r="BM70" s="207">
        <f>INDEX($A$61:$H$74,MATCH($L70,$B$61:$B$74,0),MATCH($BC$60,$A$61:$H$61,0))*고양시_Modal_split!M$3 * 0.01</f>
        <v>1.6763934175682114E-4</v>
      </c>
      <c r="BN70" s="207">
        <f>INDEX($A$61:$H$74,MATCH($L70,$B$61:$B$74,0),MATCH($BC$60,$A$61:$H$61,0))*고양시_Modal_split!N$3 * 0.01</f>
        <v>7.2886670329052675E-5</v>
      </c>
      <c r="BO70" s="207">
        <f>INDEX($A$61:$H$74,MATCH($L70,$B$61:$B$74,0),MATCH($BC$60,$A$61:$H$61,0))*고양시_Modal_split!O$3 * 0.01</f>
        <v>1.3119600659229481E-4</v>
      </c>
      <c r="BP70" s="207">
        <f>INDEX($A$61:$H$74,MATCH($L70,$B$61:$B$74,0),MATCH($BC$60,$A$61:$H$61,0))*고양시_Modal_split!P$3 * 0.01</f>
        <v>7.2886670329052675E-2</v>
      </c>
      <c r="BQ70" s="207">
        <f>INDEX($A$61:$H$74,MATCH($L70,$B$61:$B$74,0),MATCH($BQ$60,$A$61:$H$61,0))*고양시_Modal_split!C$3 * 0.01</f>
        <v>5.7823425127714835E-4</v>
      </c>
      <c r="BR70" s="207">
        <f>INDEX($A$61:$H$74,MATCH($L70,$B$61:$B$74,0),MATCH($BQ$60,$A$61:$H$61,0))*고양시_Modal_split!D$3 * 0.01</f>
        <v>9.7122702991301019E-2</v>
      </c>
      <c r="BS70" s="207">
        <f>INDEX($A$61:$H$74,MATCH($L70,$B$61:$B$74,0),MATCH($BQ$60,$A$61:$H$61,0))*고양시_Modal_split!E$3 * 0.01</f>
        <v>1.1750546034882051E-2</v>
      </c>
      <c r="BT70" s="207">
        <f>INDEX($A$61:$H$74,MATCH($L70,$B$61:$B$74,0),MATCH($BQ$60,$A$61:$H$61,0))*고양시_Modal_split!F$3 * 0.01</f>
        <v>1.8937171729326609E-2</v>
      </c>
      <c r="BU70" s="207">
        <f>INDEX($A$61:$H$74,MATCH($L70,$B$61:$B$74,0),MATCH($BQ$60,$A$61:$H$61,0))*고양시_Modal_split!G$3 * 0.01</f>
        <v>1.8999125399106302E-3</v>
      </c>
      <c r="BV70" s="207">
        <f>INDEX($A$61:$H$74,MATCH($L70,$B$61:$B$74,0),MATCH($BQ$60,$A$61:$H$61,0))*고양시_Modal_split!H$3 * 0.01</f>
        <v>2.0651223259898154E-5</v>
      </c>
      <c r="BW70" s="207">
        <f>INDEX($A$61:$H$74,MATCH($L70,$B$61:$B$74,0),MATCH($BQ$60,$A$61:$H$61,0))*고양시_Modal_split!I$3 * 0.01</f>
        <v>5.7410400662516866E-3</v>
      </c>
      <c r="BX70" s="207">
        <f>INDEX($A$61:$H$74,MATCH($L70,$B$61:$B$74,0),MATCH($BQ$60,$A$61:$H$61,0))*고양시_Modal_split!J$3 * 0.01</f>
        <v>6.2862323603129988E-2</v>
      </c>
      <c r="BY70" s="207">
        <f>INDEX($A$61:$H$74,MATCH($L70,$B$61:$B$74,0),MATCH($BQ$60,$A$61:$H$61,0))*고양시_Modal_split!K$3 * 0.01</f>
        <v>3.0976834889847232E-4</v>
      </c>
      <c r="BZ70" s="207">
        <f>INDEX($A$61:$H$74,MATCH($L70,$B$61:$B$74,0),MATCH($BQ$60,$A$61:$H$61,0))*고양시_Modal_split!L$3 * 0.01</f>
        <v>6.2366694244892426E-3</v>
      </c>
      <c r="CA70" s="207">
        <f>INDEX($A$61:$H$74,MATCH($L70,$B$61:$B$74,0),MATCH($BQ$60,$A$61:$H$61,0))*고양시_Modal_split!M$3 * 0.01</f>
        <v>4.7497813497765756E-4</v>
      </c>
      <c r="CB70" s="207">
        <f>INDEX($A$61:$H$74,MATCH($L70,$B$61:$B$74,0),MATCH($BQ$60,$A$61:$H$61,0))*고양시_Modal_split!N$3 * 0.01</f>
        <v>2.0651223259898156E-4</v>
      </c>
      <c r="CC70" s="207">
        <f>INDEX($A$61:$H$74,MATCH($L70,$B$61:$B$74,0),MATCH($BQ$60,$A$61:$H$61,0))*고양시_Modal_split!O$3 * 0.01</f>
        <v>3.7172201867816676E-4</v>
      </c>
      <c r="CD70" s="207">
        <f>INDEX($A$61:$H$74,MATCH($L70,$B$61:$B$74,0),MATCH($BQ$60,$A$61:$H$61,0))*고양시_Modal_split!P$3 * 0.01</f>
        <v>0.20651223259898158</v>
      </c>
      <c r="CE70" s="304">
        <f t="shared" si="31"/>
        <v>1.9921700576574717</v>
      </c>
      <c r="CF70" s="304">
        <f t="shared" si="13"/>
        <v>334.61342075582468</v>
      </c>
      <c r="CG70" s="304">
        <f t="shared" si="14"/>
        <v>40.48374152882505</v>
      </c>
      <c r="CH70" s="304">
        <f t="shared" si="15"/>
        <v>65.243569388282182</v>
      </c>
      <c r="CI70" s="304">
        <f t="shared" si="16"/>
        <v>6.545701618017409</v>
      </c>
      <c r="CJ70" s="304">
        <f t="shared" si="17"/>
        <v>7.1148930630623997E-2</v>
      </c>
      <c r="CK70" s="304">
        <f t="shared" si="18"/>
        <v>19.779402715313466</v>
      </c>
      <c r="CL70" s="304">
        <f t="shared" si="19"/>
        <v>216.57734483961943</v>
      </c>
      <c r="CM70" s="304">
        <f t="shared" si="20"/>
        <v>1.0672339594593598</v>
      </c>
      <c r="CN70" s="304">
        <f t="shared" si="21"/>
        <v>21.486977050448445</v>
      </c>
      <c r="CO70" s="304">
        <f t="shared" si="22"/>
        <v>1.6364254045043523</v>
      </c>
      <c r="CP70" s="304">
        <f t="shared" si="23"/>
        <v>0.71148930630623985</v>
      </c>
      <c r="CQ70" s="304">
        <f t="shared" si="24"/>
        <v>1.2806807513512319</v>
      </c>
      <c r="CR70" s="304">
        <f t="shared" si="25"/>
        <v>711.48930630623988</v>
      </c>
      <c r="CS70" s="305">
        <f t="shared" si="32"/>
        <v>0</v>
      </c>
      <c r="CV70" s="267" t="s">
        <v>47</v>
      </c>
      <c r="CW70" s="267" t="s">
        <v>47</v>
      </c>
      <c r="CX70" s="267">
        <f>INDEX($M$60:$Z$74,MATCH($CW70,$L$60:$L$74,0),MATCH(CX$61,$M$61:$Z$61,0))/INDEX(고양시_재차인원!$D$4:$H$35,MATCH("고양시",고양시_재차인원!$B$4:$B$35,0),MATCH($CX$60,고양시_재차인원!$D$4:$H$4,0))</f>
        <v>32.743205383464343</v>
      </c>
      <c r="CY70" s="267">
        <f>INDEX($M$60:$Z$74,MATCH($CW70,$L$60:$L$74,0),MATCH(CY$61,$M$61:$Z$61,0))/INDEX(고양시_재차인원!$K$4:$O$20,MATCH("경기도",고양시_재차인원!$K$4:$K$20,0),MATCH($CY$61,고양시_재차인원!$K$4:$O$4,0))</f>
        <v>2.7084609056511909E-4</v>
      </c>
      <c r="CZ70" s="267">
        <f>INDEX($M$60:$Z$74,MATCH($CW70,$L$60:$L$74,0),MATCH(CZ$61,$M$61:$Z$61,0))/INDEX(고양시_재차인원!$K$4:$O$20,MATCH("경기도",고양시_재차인원!$K$4:$K$20,0),MATCH($CZ$61,고양시_재차인원!$K$4:$O$4,0))</f>
        <v>7.529521317710311E-2</v>
      </c>
      <c r="DA70" s="267">
        <f>INDEX($M$60:$Z$74,MATCH($CW70,$L$60:$L$74,0),MATCH(DA$61,$M$61:$Z$61,0))/INDEX(고양시_재차인원!$D$4:$H$35,MATCH("고양시",고양시_재차인원!$B$4:$B$35,0),MATCH($CX$60,고양시_재차인원!$D$4:$H$4,0))</f>
        <v>2.1025830375943508</v>
      </c>
      <c r="DB70" s="267">
        <f>INDEX($AA$60:$AN$74,MATCH($CW70,$L$60:$L$74,0),MATCH(DB$61,$AA$61:$AN$61,0))/INDEX(고양시_재차인원!$D$4:$H$35,MATCH("고양시",고양시_재차인원!$B$4:$B$35,0),MATCH($DB$60,고양시_재차인원!$D$4:$H$4,0))</f>
        <v>202.24779807304148</v>
      </c>
      <c r="DC70" s="267">
        <f>INDEX($AA$60:$AN$74,MATCH($CW70,$L$60:$L$74,0),MATCH(DC$61,$AA$61:$AN$61,0))/INDEX(고양시_재차인원!$K$4:$O$20,MATCH("경기도",고양시_재차인원!$K$4:$K$20,0),MATCH($DC$61,고양시_재차인원!$K$4:$O$4,0))</f>
        <v>2.1061353186723726E-3</v>
      </c>
      <c r="DD70" s="267">
        <f>INDEX($AA$60:$AN$74,MATCH($CW70,$L$60:$L$74,0),MATCH(DD$61,$AA$61:$AN$61,0))/INDEX(고양시_재차인원!$K$4:$O$20,MATCH("경기도",고양시_재차인원!$K$4:$K$20,0),MATCH($DD$61,고양시_재차인원!$K$4:$O$4,0))</f>
        <v>0.58550561859091954</v>
      </c>
      <c r="DE70" s="267">
        <f>INDEX($AA$60:$AN$74,MATCH($CW70,$L$60:$L$74,0),MATCH(DE$61,$AA$61:$AN$61,0))/INDEX(고양시_재차인원!$D$4:$H$35,MATCH("고양시",고양시_재차인원!$B$4:$B$35,0),MATCH($DB$60,고양시_재차인원!$D$4:$H$4,0))</f>
        <v>12.987207105689674</v>
      </c>
      <c r="DF70" s="267">
        <f>INDEX($AO$60:$BB$74,MATCH($CW70,$L$60:$L$74,0),MATCH(DF$61,$AO$61:$BB$61,0))/INDEX(고양시_재차인원!$D$4:$H$35,MATCH("고양시",고양시_재차인원!$B$4:$B$35,0),MATCH($DF$60,고양시_재차인원!$D$4:$H$4,0))</f>
        <v>9.723257030237729</v>
      </c>
      <c r="DG70" s="267">
        <f>INDEX($AO$60:$BB$74,MATCH($CW70,$L$60:$L$74,0),MATCH(DG$61,$AO$61:$BB$61,0))/INDEX(고양시_재차인원!$K$4:$O$20,MATCH("경기도",고양시_재차인원!$K$4:$K$20,0),MATCH($DG$61,고양시_재차인원!$K$4:$O$4,0))</f>
        <v>9.3355191677103419E-5</v>
      </c>
      <c r="DH70" s="267">
        <f>INDEX($AO$60:$BB$74,MATCH($CW70,$L$60:$L$74,0),MATCH(DH$61,$AO$61:$BB$61,0))/INDEX(고양시_재차인원!$K$4:$O$20,MATCH("경기도",고양시_재차인원!$K$4:$K$20,0),MATCH($DH$61,고양시_재차인원!$K$4:$O$4,0))</f>
        <v>2.5952743286234752E-2</v>
      </c>
      <c r="DI70" s="267">
        <f>INDEX($AO$60:$BB$74,MATCH($CW70,$L$60:$L$74,0),MATCH(DI$61,$AO$61:$BB$61,0))/INDEX(고양시_재차인원!$D$4:$H$35,MATCH("고양시",고양시_재차인원!$B$4:$B$35,0),MATCH($DF$60,고양시_재차인원!$D$4:$H$4,0))</f>
        <v>0.62437244803993075</v>
      </c>
      <c r="DJ70" s="267">
        <f>INDEX($BC$60:$BP$74,MATCH($CW70,$L$60:$L$74,0),MATCH(DJ$61,$BC$61:$BP$61,0))/INDEX(고양시_재차인원!$D$4:$H$35,MATCH("고양시",고양시_재차인원!$B$4:$B$35,0),MATCH($DJ$60,고양시_재차인원!$D$4:$H$4,0))</f>
        <v>2.5204853717465791E-2</v>
      </c>
      <c r="DK70" s="267">
        <f>INDEX($BC$60:$BP$74,MATCH($CW70,$L$60:$L$74,0),MATCH(DK$61,$BC$61:$BP$61,0))/INDEX(고양시_재차인원!$K$4:$O$20,MATCH("경기도",고양시_재차인원!$K$4:$K$20,0),MATCH($DK$61,고양시_재차인원!$K$4:$O$4,0))</f>
        <v>2.5316662149723053E-7</v>
      </c>
      <c r="DL70" s="267">
        <f>INDEX($BC$60:$BP$74,MATCH($CW70,$L$60:$L$74,0),MATCH(DL$61,$BC$61:$BP$61,0))/INDEX(고양시_재차인원!$K$4:$O$20,MATCH("경기도",고양시_재차인원!$K$4:$K$20,0),MATCH($DL$61,고양시_재차인원!$K$4:$O$4,0))</f>
        <v>7.0380320776230096E-5</v>
      </c>
      <c r="DM70" s="267">
        <f>INDEX($BC$60:$BP$74,MATCH($CW70,$L$60:$L$74,0),MATCH(DM$61,$BC$61:$BP$61,0))/INDEX(고양시_재차인원!$D$4:$H$35,MATCH("고양시",고양시_재차인원!$B$4:$B$35,0),MATCH($DJ$60,고양시_재차인원!$D$4:$H$4,0))</f>
        <v>1.6185128264245517E-3</v>
      </c>
      <c r="DN70" s="267">
        <f>INDEX($BQ$60:$CD$74,MATCH($CW70,$L$60:$L$74,0),MATCH(DN$61,$BQ$61:$CD$61,0))/INDEX(고양시_재차인원!$D$4:$H$35,MATCH("고양시",고양시_재차인원!$B$4:$B$35,0),MATCH($DN$60,고양시_재차인원!$D$4:$H$4,0))</f>
        <v>7.7081510310556364E-2</v>
      </c>
      <c r="DO70" s="267">
        <f>INDEX($BQ$60:$CD$74,MATCH($CW70,$L$60:$L$74,0),MATCH(DO$61,$BQ$61:$CD$61,0))/INDEX(고양시_재차인원!$K$4:$O$20,MATCH("경기도",고양시_재차인원!$K$4:$K$20,0),MATCH($DO$61,고양시_재차인원!$K$4:$O$4,0))</f>
        <v>7.1730542757548296E-7</v>
      </c>
      <c r="DP70" s="267">
        <f>INDEX($BQ$60:$CD$74,MATCH($CW70,$L$60:$L$74,0),MATCH(DP$61,$BQ$61:$CD$61,0))/INDEX(고양시_재차인원!$K$4:$O$20,MATCH("경기도",고양시_재차인원!$K$4:$K$20,0),MATCH($DP$61,고양시_재차인원!$K$4:$O$4,0))</f>
        <v>1.9941090886598425E-4</v>
      </c>
      <c r="DQ70" s="267">
        <f>INDEX($BQ$60:$CD$74,MATCH($CW70,$L$60:$L$74,0),MATCH(DQ$61,$BQ$61:$CD$61,0))/INDEX(고양시_재차인원!$D$4:$H$35,MATCH("고양시",고양시_재차인원!$B$4:$B$35,0),MATCH($DN$60,고양시_재차인원!$D$4:$H$4,0))</f>
        <v>4.9497376384835257E-3</v>
      </c>
      <c r="DR70" s="270">
        <f t="shared" si="33"/>
        <v>244.8165468507716</v>
      </c>
      <c r="DS70" s="270">
        <f t="shared" si="26"/>
        <v>2.4713070729636679E-3</v>
      </c>
      <c r="DT70" s="270">
        <f t="shared" si="27"/>
        <v>0.68702336628389959</v>
      </c>
      <c r="DU70" s="270">
        <f t="shared" si="28"/>
        <v>15.720730841788862</v>
      </c>
      <c r="DW70" s="278" t="s">
        <v>47</v>
      </c>
      <c r="DX70" s="278" t="s">
        <v>47</v>
      </c>
      <c r="DY70" s="281">
        <f t="shared" si="41"/>
        <v>260.53727769256045</v>
      </c>
      <c r="DZ70" s="281">
        <f t="shared" si="42"/>
        <v>0.68949467335686321</v>
      </c>
      <c r="EB70" s="278" t="s">
        <v>169</v>
      </c>
      <c r="EC70" s="278" t="s">
        <v>169</v>
      </c>
      <c r="ED70" s="281">
        <f t="shared" si="45"/>
        <v>417.99982786459418</v>
      </c>
      <c r="EE70" s="281">
        <f t="shared" si="44"/>
        <v>1.1062088977409821</v>
      </c>
      <c r="EK70" s="420" t="s">
        <v>168</v>
      </c>
      <c r="EL70" s="420" t="s">
        <v>168</v>
      </c>
      <c r="EM70" s="420" t="s">
        <v>223</v>
      </c>
      <c r="EN70" s="420">
        <v>69072.016600000003</v>
      </c>
      <c r="EO70" s="420">
        <v>0.41000415063214324</v>
      </c>
      <c r="EP70" s="421">
        <v>849009</v>
      </c>
      <c r="EQ70" s="422">
        <f t="shared" si="37"/>
        <v>682.66999862211958</v>
      </c>
      <c r="ER70" s="422">
        <f t="shared" si="38"/>
        <v>1.8066409992428087</v>
      </c>
      <c r="ES70">
        <v>0</v>
      </c>
      <c r="EU70" s="306" t="s">
        <v>168</v>
      </c>
      <c r="EV70" s="306" t="s">
        <v>168</v>
      </c>
      <c r="EW70" s="306" t="s">
        <v>223</v>
      </c>
      <c r="EX70" s="306">
        <v>69072.016600000003</v>
      </c>
      <c r="EY70" s="306">
        <v>0.41000415063214324</v>
      </c>
      <c r="EZ70" s="307">
        <v>849009</v>
      </c>
      <c r="FA70" s="308">
        <f t="shared" si="39"/>
        <v>682.66999862211958</v>
      </c>
      <c r="FB70" s="308">
        <f t="shared" si="30"/>
        <v>1.8066409992428087</v>
      </c>
      <c r="FD70" s="101"/>
      <c r="FE70" s="101"/>
      <c r="FF70" s="101"/>
      <c r="FG70" s="101"/>
      <c r="FH70" s="101"/>
      <c r="FI70" s="374"/>
      <c r="FJ70" s="404"/>
      <c r="FK70" s="404"/>
    </row>
    <row r="71" spans="1:167" ht="25">
      <c r="A71" s="205" t="s">
        <v>169</v>
      </c>
      <c r="B71" s="205" t="s">
        <v>169</v>
      </c>
      <c r="C71" s="201">
        <f>$L38*KTDB_TripDistribution_2025!L$12</f>
        <v>125.10379039093074</v>
      </c>
      <c r="D71" s="201">
        <f>$L38*KTDB_TripDistribution_2025!M$12</f>
        <v>972.82375718388016</v>
      </c>
      <c r="E71" s="201">
        <f>$L38*KTDB_TripDistribution_2025!N$12</f>
        <v>43.120756541507198</v>
      </c>
      <c r="F71" s="201">
        <f>$L38*KTDB_TripDistribution_2025!O$12</f>
        <v>0.11693764485832503</v>
      </c>
      <c r="G71" s="201">
        <f>$L38*KTDB_TripDistribution_2025!P$12</f>
        <v>0.33132332709858592</v>
      </c>
      <c r="H71" s="201">
        <f>$L38*KTDB_TripDistribution_2025!Q$12</f>
        <v>1141.496565088275</v>
      </c>
      <c r="I71" s="56"/>
      <c r="J71" s="56"/>
      <c r="K71" s="206" t="s">
        <v>169</v>
      </c>
      <c r="L71" s="206" t="s">
        <v>169</v>
      </c>
      <c r="M71" s="206">
        <f>INDEX($A$61:$H$74,MATCH($L71,$B$61:$B$74,0),MATCH($M$60,$A$61:$H$61,0))*고양시_Modal_split!C$3 * 0.01</f>
        <v>0.35029061309460602</v>
      </c>
      <c r="N71" s="206">
        <f>INDEX($A$61:$H$74,MATCH($L71,$B$61:$B$74,0),MATCH($M$60,$A$61:$H$61,0))*고양시_Modal_split!D$3 * 0.01</f>
        <v>58.836312620854734</v>
      </c>
      <c r="O71" s="206">
        <f>INDEX($A$61:$H$74,MATCH($L71,$B$61:$B$74,0),MATCH($M$60,$A$61:$H$61,0))*고양시_Modal_split!E$3 * 0.01</f>
        <v>7.1184056732439585</v>
      </c>
      <c r="P71" s="206">
        <f>INDEX($A$61:$H$74,MATCH($L71,$B$61:$B$74,0),MATCH($M$60,$A$61:$H$61,0))*고양시_Modal_split!F$3 * 0.01</f>
        <v>11.47201757884835</v>
      </c>
      <c r="Q71" s="206">
        <f>INDEX($A$61:$H$74,MATCH($L71,$B$61:$B$74,0),MATCH($M$60,$A$61:$H$61,0))*고양시_Modal_split!G$3 * 0.01</f>
        <v>1.1509548715965627</v>
      </c>
      <c r="R71" s="206">
        <f>INDEX($A$61:$H$74,MATCH($L71,$B$61:$B$74,0),MATCH($M$60,$A$61:$H$61,0))*고양시_Modal_split!H$3 * 0.01</f>
        <v>1.2510379039093075E-2</v>
      </c>
      <c r="S71" s="206">
        <f>INDEX($A$61:$H$74,MATCH($L71,$B$61:$B$74,0),MATCH($M$60,$A$61:$H$61,0))*고양시_Modal_split!I$3 * 0.01</f>
        <v>3.4778853728678745</v>
      </c>
      <c r="T71" s="206">
        <f>INDEX($A$61:$H$74,MATCH($L71,$B$61:$B$74,0),MATCH($M$60,$A$61:$H$61,0))*고양시_Modal_split!J$3 * 0.01</f>
        <v>38.081593794999314</v>
      </c>
      <c r="U71" s="206">
        <f>INDEX($A$61:$H$74,MATCH($L71,$B$61:$B$74,0),MATCH($M$60,$A$61:$H$61,0))*고양시_Modal_split!K$3 * 0.01</f>
        <v>0.18765568558639611</v>
      </c>
      <c r="V71" s="206">
        <f>INDEX($A$61:$H$74,MATCH($L71,$B$61:$B$74,0),MATCH($M$60,$A$61:$H$61,0))*고양시_Modal_split!L$3 * 0.01</f>
        <v>3.7781344698061083</v>
      </c>
      <c r="W71" s="206">
        <f>INDEX($A$61:$H$74,MATCH($L71,$B$61:$B$74,0),MATCH($M$60,$A$61:$H$61,0))*고양시_Modal_split!M$3 * 0.01</f>
        <v>0.28773871789914068</v>
      </c>
      <c r="X71" s="206">
        <f>INDEX($A$61:$H$74,MATCH($L71,$B$61:$B$74,0),MATCH($M$60,$A$61:$H$61,0))*고양시_Modal_split!N$3 * 0.01</f>
        <v>0.12510379039093075</v>
      </c>
      <c r="Y71" s="206">
        <f>INDEX($A$61:$H$74,MATCH($L71,$B$61:$B$74,0),MATCH($M$60,$A$61:$H$61,0))*고양시_Modal_split!O$3 * 0.01</f>
        <v>0.22518682270367532</v>
      </c>
      <c r="Z71" s="209">
        <f>INDEX($A$61:$H$74,MATCH($L71,$B$61:$B$74,0),MATCH($M$60,$A$61:$H$61,0))*고양시_Modal_split!P$3 * 0.01</f>
        <v>125.10379039093074</v>
      </c>
      <c r="AA71" s="207">
        <f>INDEX($A$61:$H$74,MATCH($L71,$B$61:$B$74,0),MATCH($AA$60,$A$61:$H$61,0))*고양시_Modal_split!C$3 * 0.01</f>
        <v>2.723906520114864</v>
      </c>
      <c r="AB71" s="207">
        <f>INDEX($A$61:$H$74,MATCH($L71,$B$61:$B$74,0),MATCH($AA$60,$A$61:$H$61,0))*고양시_Modal_split!D$3 * 0.01</f>
        <v>457.51901300357889</v>
      </c>
      <c r="AC71" s="207">
        <f>INDEX($A$61:$H$74,MATCH($L71,$B$61:$B$74,0),MATCH($AA$60,$A$61:$H$61,0))*고양시_Modal_split!E$3 * 0.01</f>
        <v>55.353671783762778</v>
      </c>
      <c r="AD71" s="207">
        <f>INDEX($A$61:$H$74,MATCH($L71,$B$61:$B$74,0),MATCH($AA$60,$A$61:$H$61,0))*고양시_Modal_split!F$3 * 0.01</f>
        <v>89.207938533761805</v>
      </c>
      <c r="AE71" s="207">
        <f>INDEX($A$61:$H$74,MATCH($L71,$B$61:$B$74,0),MATCH($AA$60,$A$61:$H$61,0))*고양시_Modal_split!G$3 * 0.01</f>
        <v>8.9499785660916977</v>
      </c>
      <c r="AF71" s="207">
        <f>INDEX($A$61:$H$74,MATCH($L71,$B$61:$B$74,0),MATCH($AA$60,$A$61:$H$61,0))*고양시_Modal_split!H$3 * 0.01</f>
        <v>9.728237571838802E-2</v>
      </c>
      <c r="AG71" s="207">
        <f>INDEX($A$61:$H$74,MATCH($L71,$B$61:$B$74,0),MATCH($AA$60,$A$61:$H$61,0))*고양시_Modal_split!I$3 * 0.01</f>
        <v>27.044500449711869</v>
      </c>
      <c r="AH71" s="207">
        <f>INDEX($A$61:$H$74,MATCH($L71,$B$61:$B$74,0),MATCH($AA$60,$A$61:$H$61,0))*고양시_Modal_split!J$3 * 0.01</f>
        <v>296.12755168677313</v>
      </c>
      <c r="AI71" s="207">
        <f>INDEX($A$61:$H$74,MATCH($L71,$B$61:$B$74,0),MATCH($AA$60,$A$61:$H$61,0))*고양시_Modal_split!K$3 * 0.01</f>
        <v>1.4592356357758203</v>
      </c>
      <c r="AJ71" s="207">
        <f>INDEX($A$61:$H$74,MATCH($L71,$B$61:$B$74,0),MATCH($AA$60,$A$61:$H$61,0))*고양시_Modal_split!L$3 * 0.01</f>
        <v>29.37927746695318</v>
      </c>
      <c r="AK71" s="207">
        <f>INDEX($A$61:$H$74,MATCH($L71,$B$61:$B$74,0),MATCH($AA$60,$A$61:$H$61,0))*고양시_Modal_split!M$3 * 0.01</f>
        <v>2.2374946415229244</v>
      </c>
      <c r="AL71" s="207">
        <f>INDEX($A$61:$H$74,MATCH($L71,$B$61:$B$74,0),MATCH($AA$60,$A$61:$H$61,0))*고양시_Modal_split!N$3 * 0.01</f>
        <v>0.97282375718388026</v>
      </c>
      <c r="AM71" s="207">
        <f>INDEX($A$61:$H$74,MATCH($L71,$B$61:$B$74,0),MATCH($AA$60,$A$61:$H$61,0))*고양시_Modal_split!O$3 * 0.01</f>
        <v>1.7510827629309842</v>
      </c>
      <c r="AN71" s="207">
        <f>INDEX($A$61:$H$74,MATCH($L71,$B$61:$B$74,0),MATCH($AA$60,$A$61:$H$61,0))*고양시_Modal_split!P$3 * 0.01</f>
        <v>972.82375718388028</v>
      </c>
      <c r="AO71" s="303">
        <f>INDEX($A$61:$H$74,MATCH($L71,$B$61:$B$74,0),MATCH($AO$60,$A$61:$H$61,0))*고양시_Modal_split!C$3 * 0.01</f>
        <v>0.12073811831622015</v>
      </c>
      <c r="AP71" s="303">
        <f>INDEX($A$61:$H$74,MATCH($L71,$B$61:$B$74,0),MATCH($AO$60,$A$61:$H$61,0))*고양시_Modal_split!D$3 * 0.01</f>
        <v>20.279691801470836</v>
      </c>
      <c r="AQ71" s="303">
        <f>INDEX($A$61:$H$74,MATCH($L71,$B$61:$B$74,0),MATCH($AO$60,$A$61:$H$61,0))*고양시_Modal_split!E$3 * 0.01</f>
        <v>2.4535710472117596</v>
      </c>
      <c r="AR71" s="303">
        <f>INDEX($A$61:$H$74,MATCH($L71,$B$61:$B$74,0),MATCH($AO$60,$A$61:$H$61,0))*고양시_Modal_split!F$3 * 0.01</f>
        <v>3.9541733748562105</v>
      </c>
      <c r="AS71" s="303">
        <f>INDEX($A$61:$H$74,MATCH($L71,$B$61:$B$74,0),MATCH($AO$60,$A$61:$H$61,0))*고양시_Modal_split!G$3 * 0.01</f>
        <v>0.39671096018186619</v>
      </c>
      <c r="AT71" s="303">
        <f>INDEX($A$61:$H$74,MATCH($L71,$B$61:$B$74,0),MATCH($AO$60,$A$61:$H$61,0))*고양시_Modal_split!H$3 * 0.01</f>
        <v>4.31207565415072E-3</v>
      </c>
      <c r="AU71" s="303">
        <f>INDEX($A$61:$H$74,MATCH($L71,$B$61:$B$74,0),MATCH($AO$60,$A$61:$H$61,0))*고양시_Modal_split!I$3 * 0.01</f>
        <v>1.1987570318539</v>
      </c>
      <c r="AV71" s="303">
        <f>INDEX($A$61:$H$74,MATCH($L71,$B$61:$B$74,0),MATCH($AO$60,$A$61:$H$61,0))*고양시_Modal_split!J$3 * 0.01</f>
        <v>13.125958291234793</v>
      </c>
      <c r="AW71" s="303">
        <f>INDEX($A$61:$H$74,MATCH($L71,$B$61:$B$74,0),MATCH($AO$60,$A$61:$H$61,0))*고양시_Modal_split!K$3 * 0.01</f>
        <v>6.4681134812260788E-2</v>
      </c>
      <c r="AX71" s="303">
        <f>INDEX($A$61:$H$74,MATCH($L71,$B$61:$B$74,0),MATCH($AO$60,$A$61:$H$61,0))*고양시_Modal_split!L$3 * 0.01</f>
        <v>1.3022468475535174</v>
      </c>
      <c r="AY71" s="303">
        <f>INDEX($A$61:$H$74,MATCH($L71,$B$61:$B$74,0),MATCH($AO$60,$A$61:$H$61,0))*고양시_Modal_split!M$3 * 0.01</f>
        <v>9.9177740045466548E-2</v>
      </c>
      <c r="AZ71" s="303">
        <f>INDEX($A$61:$H$74,MATCH($L71,$B$61:$B$74,0),MATCH($AO$60,$A$61:$H$61,0))*고양시_Modal_split!N$3 * 0.01</f>
        <v>4.3120756541507203E-2</v>
      </c>
      <c r="BA71" s="207">
        <f>INDEX($A$61:$H$74,MATCH($L71,$B$61:$B$74,0),MATCH($AO$60,$A$61:$H$61,0))*고양시_Modal_split!O$3 * 0.01</f>
        <v>7.7617361774712956E-2</v>
      </c>
      <c r="BB71" s="207">
        <f>INDEX($A$61:$H$74,MATCH($L71,$B$61:$B$74,0),MATCH($AO$60,$A$61:$H$61,0))*고양시_Modal_split!P$3 * 0.01</f>
        <v>43.120756541507198</v>
      </c>
      <c r="BC71" s="207">
        <f>INDEX($A$61:$H$74,MATCH($L71,$B$61:$B$74,0),MATCH($BC$60,$A$61:$H$61,0))*고양시_Modal_split!C$3 * 0.01</f>
        <v>3.2742540560331006E-4</v>
      </c>
      <c r="BD71" s="207">
        <f>INDEX($A$61:$H$74,MATCH($L71,$B$61:$B$74,0),MATCH($BC$60,$A$61:$H$61,0))*고양시_Modal_split!D$3 * 0.01</f>
        <v>5.4995774376870268E-2</v>
      </c>
      <c r="BE71" s="207">
        <f>INDEX($A$61:$H$74,MATCH($L71,$B$61:$B$74,0),MATCH($BC$60,$A$61:$H$61,0))*고양시_Modal_split!E$3 * 0.01</f>
        <v>6.6537519924386931E-3</v>
      </c>
      <c r="BF71" s="207">
        <f>INDEX($A$61:$H$74,MATCH($L71,$B$61:$B$74,0),MATCH($BC$60,$A$61:$H$61,0))*고양시_Modal_split!F$3 * 0.01</f>
        <v>1.0723182033508406E-2</v>
      </c>
      <c r="BG71" s="207">
        <f>INDEX($A$61:$H$74,MATCH($L71,$B$61:$B$74,0),MATCH($BC$60,$A$61:$H$61,0))*고양시_Modal_split!G$3 * 0.01</f>
        <v>1.0758263326965901E-3</v>
      </c>
      <c r="BH71" s="207">
        <f>INDEX($A$61:$H$74,MATCH($L71,$B$61:$B$74,0),MATCH($BC$60,$A$61:$H$61,0))*고양시_Modal_split!H$3 * 0.01</f>
        <v>1.1693764485832504E-5</v>
      </c>
      <c r="BI71" s="207">
        <f>INDEX($A$61:$H$74,MATCH($L71,$B$61:$B$74,0),MATCH($BC$60,$A$61:$H$61,0))*고양시_Modal_split!I$3 * 0.01</f>
        <v>3.2508665270614356E-3</v>
      </c>
      <c r="BJ71" s="207">
        <f>INDEX($A$61:$H$74,MATCH($L71,$B$61:$B$74,0),MATCH($BC$60,$A$61:$H$61,0))*고양시_Modal_split!J$3 * 0.01</f>
        <v>3.5595819094874137E-2</v>
      </c>
      <c r="BK71" s="207">
        <f>INDEX($A$61:$H$74,MATCH($L71,$B$61:$B$74,0),MATCH($BC$60,$A$61:$H$61,0))*고양시_Modal_split!K$3 * 0.01</f>
        <v>1.7540646728748753E-4</v>
      </c>
      <c r="BL71" s="207">
        <f>INDEX($A$61:$H$74,MATCH($L71,$B$61:$B$74,0),MATCH($BC$60,$A$61:$H$61,0))*고양시_Modal_split!L$3 * 0.01</f>
        <v>3.5315168747214161E-3</v>
      </c>
      <c r="BM71" s="207">
        <f>INDEX($A$61:$H$74,MATCH($L71,$B$61:$B$74,0),MATCH($BC$60,$A$61:$H$61,0))*고양시_Modal_split!M$3 * 0.01</f>
        <v>2.6895658317414753E-4</v>
      </c>
      <c r="BN71" s="207">
        <f>INDEX($A$61:$H$74,MATCH($L71,$B$61:$B$74,0),MATCH($BC$60,$A$61:$H$61,0))*고양시_Modal_split!N$3 * 0.01</f>
        <v>1.1693764485832503E-4</v>
      </c>
      <c r="BO71" s="207">
        <f>INDEX($A$61:$H$74,MATCH($L71,$B$61:$B$74,0),MATCH($BC$60,$A$61:$H$61,0))*고양시_Modal_split!O$3 * 0.01</f>
        <v>2.1048776074498502E-4</v>
      </c>
      <c r="BP71" s="207">
        <f>INDEX($A$61:$H$74,MATCH($L71,$B$61:$B$74,0),MATCH($BC$60,$A$61:$H$61,0))*고양시_Modal_split!P$3 * 0.01</f>
        <v>0.11693764485832503</v>
      </c>
      <c r="BQ71" s="207">
        <f>INDEX($A$61:$H$74,MATCH($L71,$B$61:$B$74,0),MATCH($BQ$60,$A$61:$H$61,0))*고양시_Modal_split!C$3 * 0.01</f>
        <v>9.2770531587604052E-4</v>
      </c>
      <c r="BR71" s="207">
        <f>INDEX($A$61:$H$74,MATCH($L71,$B$61:$B$74,0),MATCH($BQ$60,$A$61:$H$61,0))*고양시_Modal_split!D$3 * 0.01</f>
        <v>0.15582136073446495</v>
      </c>
      <c r="BS71" s="207">
        <f>INDEX($A$61:$H$74,MATCH($L71,$B$61:$B$74,0),MATCH($BQ$60,$A$61:$H$61,0))*고양시_Modal_split!E$3 * 0.01</f>
        <v>1.8852297311909537E-2</v>
      </c>
      <c r="BT71" s="207">
        <f>INDEX($A$61:$H$74,MATCH($L71,$B$61:$B$74,0),MATCH($BQ$60,$A$61:$H$61,0))*고양시_Modal_split!F$3 * 0.01</f>
        <v>3.0382349094940326E-2</v>
      </c>
      <c r="BU71" s="207">
        <f>INDEX($A$61:$H$74,MATCH($L71,$B$61:$B$74,0),MATCH($BQ$60,$A$61:$H$61,0))*고양시_Modal_split!G$3 * 0.01</f>
        <v>3.0481746093069901E-3</v>
      </c>
      <c r="BV71" s="207">
        <f>INDEX($A$61:$H$74,MATCH($L71,$B$61:$B$74,0),MATCH($BQ$60,$A$61:$H$61,0))*고양시_Modal_split!H$3 * 0.01</f>
        <v>3.3132332709858593E-5</v>
      </c>
      <c r="BW71" s="207">
        <f>INDEX($A$61:$H$74,MATCH($L71,$B$61:$B$74,0),MATCH($BQ$60,$A$61:$H$61,0))*고양시_Modal_split!I$3 * 0.01</f>
        <v>9.2107884933406887E-3</v>
      </c>
      <c r="BX71" s="207">
        <f>INDEX($A$61:$H$74,MATCH($L71,$B$61:$B$74,0),MATCH($BQ$60,$A$61:$H$61,0))*고양시_Modal_split!J$3 * 0.01</f>
        <v>0.10085482076880956</v>
      </c>
      <c r="BY71" s="207">
        <f>INDEX($A$61:$H$74,MATCH($L71,$B$61:$B$74,0),MATCH($BQ$60,$A$61:$H$61,0))*고양시_Modal_split!K$3 * 0.01</f>
        <v>4.9698499064787884E-4</v>
      </c>
      <c r="BZ71" s="207">
        <f>INDEX($A$61:$H$74,MATCH($L71,$B$61:$B$74,0),MATCH($BQ$60,$A$61:$H$61,0))*고양시_Modal_split!L$3 * 0.01</f>
        <v>1.0005964478377294E-2</v>
      </c>
      <c r="CA71" s="207">
        <f>INDEX($A$61:$H$74,MATCH($L71,$B$61:$B$74,0),MATCH($BQ$60,$A$61:$H$61,0))*고양시_Modal_split!M$3 * 0.01</f>
        <v>7.6204365232674753E-4</v>
      </c>
      <c r="CB71" s="207">
        <f>INDEX($A$61:$H$74,MATCH($L71,$B$61:$B$74,0),MATCH($BQ$60,$A$61:$H$61,0))*고양시_Modal_split!N$3 * 0.01</f>
        <v>3.3132332709858597E-4</v>
      </c>
      <c r="CC71" s="207">
        <f>INDEX($A$61:$H$74,MATCH($L71,$B$61:$B$74,0),MATCH($BQ$60,$A$61:$H$61,0))*고양시_Modal_split!O$3 * 0.01</f>
        <v>5.9638198877745466E-4</v>
      </c>
      <c r="CD71" s="207">
        <f>INDEX($A$61:$H$74,MATCH($L71,$B$61:$B$74,0),MATCH($BQ$60,$A$61:$H$61,0))*고양시_Modal_split!P$3 * 0.01</f>
        <v>0.33132332709858597</v>
      </c>
      <c r="CE71" s="304">
        <f t="shared" si="31"/>
        <v>3.1961903822471691</v>
      </c>
      <c r="CF71" s="304">
        <f t="shared" si="13"/>
        <v>536.84583456101564</v>
      </c>
      <c r="CG71" s="304">
        <f t="shared" si="14"/>
        <v>64.951154553522841</v>
      </c>
      <c r="CH71" s="304">
        <f t="shared" si="15"/>
        <v>104.6752350185948</v>
      </c>
      <c r="CI71" s="304">
        <f t="shared" si="16"/>
        <v>10.50176839881213</v>
      </c>
      <c r="CJ71" s="304">
        <f t="shared" si="17"/>
        <v>0.11414965650882751</v>
      </c>
      <c r="CK71" s="304">
        <f t="shared" si="18"/>
        <v>31.733604509454047</v>
      </c>
      <c r="CL71" s="304">
        <f t="shared" si="19"/>
        <v>347.47155441287089</v>
      </c>
      <c r="CM71" s="304">
        <f t="shared" si="20"/>
        <v>1.7122448476324126</v>
      </c>
      <c r="CN71" s="304">
        <f t="shared" si="21"/>
        <v>34.473196265665905</v>
      </c>
      <c r="CO71" s="304">
        <f t="shared" si="22"/>
        <v>2.6254420997030326</v>
      </c>
      <c r="CP71" s="304">
        <f t="shared" si="23"/>
        <v>1.1414965650882751</v>
      </c>
      <c r="CQ71" s="304">
        <f t="shared" si="24"/>
        <v>2.0546938171588951</v>
      </c>
      <c r="CR71" s="304">
        <f t="shared" si="25"/>
        <v>1141.4965650882752</v>
      </c>
      <c r="CS71" s="305">
        <f t="shared" si="32"/>
        <v>0</v>
      </c>
      <c r="CV71" s="267" t="s">
        <v>169</v>
      </c>
      <c r="CW71" s="267" t="s">
        <v>169</v>
      </c>
      <c r="CX71" s="267">
        <f>INDEX($M$60:$Z$74,MATCH($CW71,$L$60:$L$74,0),MATCH(CX$61,$M$61:$Z$61,0))/INDEX(고양시_재차인원!$D$4:$H$35,MATCH("고양시",고양시_재차인원!$B$4:$B$35,0),MATCH($CX$60,고양시_재차인원!$D$4:$H$4,0))</f>
        <v>52.532421982906008</v>
      </c>
      <c r="CY71" s="267">
        <f>INDEX($M$60:$Z$74,MATCH($CW71,$L$60:$L$74,0),MATCH(CY$61,$M$61:$Z$61,0))/INDEX(고양시_재차인원!$K$4:$O$20,MATCH("경기도",고양시_재차인원!$K$4:$K$20,0),MATCH($CY$61,고양시_재차인원!$K$4:$O$4,0))</f>
        <v>4.345390426916664E-4</v>
      </c>
      <c r="CZ71" s="267">
        <f>INDEX($M$60:$Z$74,MATCH($CW71,$L$60:$L$74,0),MATCH(CZ$61,$M$61:$Z$61,0))/INDEX(고양시_재차인원!$K$4:$O$20,MATCH("경기도",고양시_재차인원!$K$4:$K$20,0),MATCH($CZ$61,고양시_재차인원!$K$4:$O$4,0))</f>
        <v>0.12080185386828324</v>
      </c>
      <c r="DA71" s="267">
        <f>INDEX($M$60:$Z$74,MATCH($CW71,$L$60:$L$74,0),MATCH(DA$61,$M$61:$Z$61,0))/INDEX(고양시_재차인원!$D$4:$H$35,MATCH("고양시",고양시_재차인원!$B$4:$B$35,0),MATCH($CX$60,고양시_재차인원!$D$4:$H$4,0))</f>
        <v>3.3733343480411677</v>
      </c>
      <c r="DB71" s="267">
        <f>INDEX($AA$60:$AN$74,MATCH($CW71,$L$60:$L$74,0),MATCH(DB$61,$AA$61:$AN$61,0))/INDEX(고양시_재차인원!$D$4:$H$35,MATCH("고양시",고양시_재차인원!$B$4:$B$35,0),MATCH($DB$60,고양시_재차인원!$D$4:$H$4,0))</f>
        <v>324.48156950608433</v>
      </c>
      <c r="DC71" s="267">
        <f>INDEX($AA$60:$AN$74,MATCH($CW71,$L$60:$L$74,0),MATCH(DC$61,$AA$61:$AN$61,0))/INDEX(고양시_재차인원!$K$4:$O$20,MATCH("경기도",고양시_재차인원!$K$4:$K$20,0),MATCH($DC$61,고양시_재차인원!$K$4:$O$4,0))</f>
        <v>3.3790335435355339E-3</v>
      </c>
      <c r="DD71" s="267">
        <f>INDEX($AA$60:$AN$74,MATCH($CW71,$L$60:$L$74,0),MATCH(DD$61,$AA$61:$AN$61,0))/INDEX(고양시_재차인원!$K$4:$O$20,MATCH("경기도",고양시_재차인원!$K$4:$K$20,0),MATCH($DD$61,고양시_재차인원!$K$4:$O$4,0))</f>
        <v>0.93937132510287846</v>
      </c>
      <c r="DE71" s="267">
        <f>INDEX($AA$60:$AN$74,MATCH($CW71,$L$60:$L$74,0),MATCH(DE$61,$AA$61:$AN$61,0))/INDEX(고양시_재차인원!$D$4:$H$35,MATCH("고양시",고양시_재차인원!$B$4:$B$35,0),MATCH($DB$60,고양시_재차인원!$D$4:$H$4,0))</f>
        <v>20.836366997839136</v>
      </c>
      <c r="DF71" s="267">
        <f>INDEX($AO$60:$BB$74,MATCH($CW71,$L$60:$L$74,0),MATCH(DF$61,$AO$61:$BB$61,0))/INDEX(고양시_재차인원!$D$4:$H$35,MATCH("고양시",고양시_재차인원!$B$4:$B$35,0),MATCH($DF$60,고양시_재차인원!$D$4:$H$4,0))</f>
        <v>15.599762924208335</v>
      </c>
      <c r="DG71" s="267">
        <f>INDEX($AO$60:$BB$74,MATCH($CW71,$L$60:$L$74,0),MATCH(DG$61,$AO$61:$BB$61,0))/INDEX(고양시_재차인원!$K$4:$O$20,MATCH("경기도",고양시_재차인원!$K$4:$K$20,0),MATCH($DG$61,고양시_재차인원!$K$4:$O$4,0))</f>
        <v>1.4977685495487045E-4</v>
      </c>
      <c r="DH71" s="267">
        <f>INDEX($AO$60:$BB$74,MATCH($CW71,$L$60:$L$74,0),MATCH(DH$61,$AO$61:$BB$61,0))/INDEX(고양시_재차인원!$K$4:$O$20,MATCH("경기도",고양시_재차인원!$K$4:$K$20,0),MATCH($DH$61,고양시_재차인원!$K$4:$O$4,0))</f>
        <v>4.1637965677453981E-2</v>
      </c>
      <c r="DI71" s="267">
        <f>INDEX($AO$60:$BB$74,MATCH($CW71,$L$60:$L$74,0),MATCH(DI$61,$AO$61:$BB$61,0))/INDEX(고양시_재차인원!$D$4:$H$35,MATCH("고양시",고양시_재차인원!$B$4:$B$35,0),MATCH($DF$60,고양시_재차인원!$D$4:$H$4,0))</f>
        <v>1.0017283442719365</v>
      </c>
      <c r="DJ71" s="267">
        <f>INDEX($BC$60:$BP$74,MATCH($CW71,$L$60:$L$74,0),MATCH(DJ$61,$BC$61:$BP$61,0))/INDEX(고양시_재차인원!$D$4:$H$35,MATCH("고양시",고양시_재차인원!$B$4:$B$35,0),MATCH($DJ$60,고양시_재차인원!$D$4:$H$4,0))</f>
        <v>4.0438069394757546E-2</v>
      </c>
      <c r="DK71" s="267">
        <f>INDEX($BC$60:$BP$74,MATCH($CW71,$L$60:$L$74,0),MATCH(DK$61,$BC$61:$BP$61,0))/INDEX(고양시_재차인원!$K$4:$O$20,MATCH("경기도",고양시_재차인원!$K$4:$K$20,0),MATCH($DK$61,고양시_재차인원!$K$4:$O$4,0))</f>
        <v>4.0617452191151458E-7</v>
      </c>
      <c r="DL71" s="267">
        <f>INDEX($BC$60:$BP$74,MATCH($CW71,$L$60:$L$74,0),MATCH(DL$61,$BC$61:$BP$61,0))/INDEX(고양시_재차인원!$K$4:$O$20,MATCH("경기도",고양시_재차인원!$K$4:$K$20,0),MATCH($DL$61,고양시_재차인원!$K$4:$O$4,0))</f>
        <v>1.1291651709140103E-4</v>
      </c>
      <c r="DM71" s="267">
        <f>INDEX($BC$60:$BP$74,MATCH($CW71,$L$60:$L$74,0),MATCH(DM$61,$BC$61:$BP$61,0))/INDEX(고양시_재차인원!$D$4:$H$35,MATCH("고양시",고양시_재차인원!$B$4:$B$35,0),MATCH($DJ$60,고양시_재차인원!$D$4:$H$4,0))</f>
        <v>2.5967035843539824E-3</v>
      </c>
      <c r="DN71" s="267">
        <f>INDEX($BQ$60:$CD$74,MATCH($CW71,$L$60:$L$74,0),MATCH(DN$61,$BQ$61:$CD$61,0))/INDEX(고양시_재차인원!$D$4:$H$35,MATCH("고양시",고양시_재차인원!$B$4:$B$35,0),MATCH($DN$60,고양시_재차인원!$D$4:$H$4,0))</f>
        <v>0.12366774661465472</v>
      </c>
      <c r="DO71" s="267">
        <f>INDEX($BQ$60:$CD$74,MATCH($CW71,$L$60:$L$74,0),MATCH(DO$61,$BQ$61:$CD$61,0))/INDEX(고양시_재차인원!$K$4:$O$20,MATCH("경기도",고양시_재차인원!$K$4:$K$20,0),MATCH($DO$61,고양시_재차인원!$K$4:$O$4,0))</f>
        <v>1.1508278120826187E-6</v>
      </c>
      <c r="DP71" s="267">
        <f>INDEX($BQ$60:$CD$74,MATCH($CW71,$L$60:$L$74,0),MATCH(DP$61,$BQ$61:$CD$61,0))/INDEX(고양시_재차인원!$K$4:$O$20,MATCH("경기도",고양시_재차인원!$K$4:$K$20,0),MATCH($DP$61,고양시_재차인원!$K$4:$O$4,0))</f>
        <v>3.19930131758968E-4</v>
      </c>
      <c r="DQ71" s="267">
        <f>INDEX($BQ$60:$CD$74,MATCH($CW71,$L$60:$L$74,0),MATCH(DQ$61,$BQ$61:$CD$61,0))/INDEX(고양시_재차인원!$D$4:$H$35,MATCH("고양시",고양시_재차인원!$B$4:$B$35,0),MATCH($DN$60,고양시_재차인원!$D$4:$H$4,0))</f>
        <v>7.9412416495057876E-3</v>
      </c>
      <c r="DR71" s="270">
        <f t="shared" si="33"/>
        <v>392.7778602292081</v>
      </c>
      <c r="DS71" s="270">
        <f t="shared" si="26"/>
        <v>3.9649064435160648E-3</v>
      </c>
      <c r="DT71" s="270">
        <f t="shared" si="27"/>
        <v>1.102243991297466</v>
      </c>
      <c r="DU71" s="270">
        <f t="shared" si="28"/>
        <v>25.2219676353861</v>
      </c>
      <c r="DW71" s="278" t="s">
        <v>169</v>
      </c>
      <c r="DX71" s="278" t="s">
        <v>169</v>
      </c>
      <c r="DY71" s="281">
        <f t="shared" si="41"/>
        <v>417.99982786459418</v>
      </c>
      <c r="DZ71" s="281">
        <f t="shared" si="42"/>
        <v>1.1062088977409821</v>
      </c>
      <c r="EB71" s="278" t="s">
        <v>170</v>
      </c>
      <c r="EC71" s="278" t="s">
        <v>170</v>
      </c>
      <c r="ED71" s="281">
        <f t="shared" si="45"/>
        <v>345.71013204372309</v>
      </c>
      <c r="EE71" s="281">
        <f t="shared" si="44"/>
        <v>0.91489899902508809</v>
      </c>
      <c r="EK71" s="420" t="s">
        <v>47</v>
      </c>
      <c r="EL71" s="420" t="s">
        <v>47</v>
      </c>
      <c r="EM71" s="420" t="s">
        <v>571</v>
      </c>
      <c r="EN71" s="420">
        <v>4861.8494000000001</v>
      </c>
      <c r="EO71" s="420">
        <v>0.50932407249705824</v>
      </c>
      <c r="EP71" s="421">
        <v>849010</v>
      </c>
      <c r="EQ71" s="422">
        <f t="shared" si="37"/>
        <v>128.91601695328922</v>
      </c>
      <c r="ER71" s="422">
        <f t="shared" si="38"/>
        <v>0.34116771230167081</v>
      </c>
      <c r="ES71">
        <v>0</v>
      </c>
      <c r="EU71" s="306" t="s">
        <v>47</v>
      </c>
      <c r="EV71" s="306" t="s">
        <v>47</v>
      </c>
      <c r="EW71" s="306" t="s">
        <v>571</v>
      </c>
      <c r="EX71" s="306">
        <v>4861.8494000000001</v>
      </c>
      <c r="EY71" s="306">
        <v>0.50932407249705824</v>
      </c>
      <c r="EZ71" s="307">
        <v>849010</v>
      </c>
      <c r="FA71" s="308">
        <f t="shared" si="39"/>
        <v>128.91601695328922</v>
      </c>
      <c r="FB71" s="308">
        <f t="shared" si="30"/>
        <v>0.34116771230167081</v>
      </c>
      <c r="FD71" s="101"/>
      <c r="FE71" s="101"/>
      <c r="FF71" s="101"/>
      <c r="FG71" s="101"/>
      <c r="FH71" s="101"/>
      <c r="FI71" s="374"/>
      <c r="FJ71" s="404"/>
      <c r="FK71" s="404"/>
    </row>
    <row r="72" spans="1:167" ht="25">
      <c r="A72" s="205" t="s">
        <v>170</v>
      </c>
      <c r="B72" s="205" t="s">
        <v>170</v>
      </c>
      <c r="C72" s="201">
        <f>$L39*KTDB_TripDistribution_2025!L$12</f>
        <v>103.46809977450305</v>
      </c>
      <c r="D72" s="201">
        <f>$L39*KTDB_TripDistribution_2025!M$12</f>
        <v>804.58174174237968</v>
      </c>
      <c r="E72" s="201">
        <f>$L39*KTDB_TripDistribution_2025!N$12</f>
        <v>35.663369800761544</v>
      </c>
      <c r="F72" s="201">
        <f>$L39*KTDB_TripDistribution_2025!O$12</f>
        <v>9.6714223188506226E-2</v>
      </c>
      <c r="G72" s="201">
        <f>$L39*KTDB_TripDistribution_2025!P$12</f>
        <v>0.27402363236743293</v>
      </c>
      <c r="H72" s="201">
        <f>$L39*KTDB_TripDistribution_2025!Q$12</f>
        <v>944.08394917320015</v>
      </c>
      <c r="I72" s="56"/>
      <c r="J72" s="56"/>
      <c r="K72" s="206" t="s">
        <v>170</v>
      </c>
      <c r="L72" s="206" t="s">
        <v>170</v>
      </c>
      <c r="M72" s="206">
        <f>INDEX($A$61:$H$74,MATCH($L72,$B$61:$B$74,0),MATCH($M$60,$A$61:$H$61,0))*고양시_Modal_split!C$3 * 0.01</f>
        <v>0.2897106793686085</v>
      </c>
      <c r="N72" s="206">
        <f>INDEX($A$61:$H$74,MATCH($L72,$B$61:$B$74,0),MATCH($M$60,$A$61:$H$61,0))*고양시_Modal_split!D$3 * 0.01</f>
        <v>48.661047323948786</v>
      </c>
      <c r="O72" s="206">
        <f>INDEX($A$61:$H$74,MATCH($L72,$B$61:$B$74,0),MATCH($M$60,$A$61:$H$61,0))*고양시_Modal_split!E$3 * 0.01</f>
        <v>5.8873348771692227</v>
      </c>
      <c r="P72" s="206">
        <f>INDEX($A$61:$H$74,MATCH($L72,$B$61:$B$74,0),MATCH($M$60,$A$61:$H$61,0))*고양시_Modal_split!F$3 * 0.01</f>
        <v>9.4880247493219301</v>
      </c>
      <c r="Q72" s="206">
        <f>INDEX($A$61:$H$74,MATCH($L72,$B$61:$B$74,0),MATCH($M$60,$A$61:$H$61,0))*고양시_Modal_split!G$3 * 0.01</f>
        <v>0.95190651792542802</v>
      </c>
      <c r="R72" s="206">
        <f>INDEX($A$61:$H$74,MATCH($L72,$B$61:$B$74,0),MATCH($M$60,$A$61:$H$61,0))*고양시_Modal_split!H$3 * 0.01</f>
        <v>1.0346809977450305E-2</v>
      </c>
      <c r="S72" s="206">
        <f>INDEX($A$61:$H$74,MATCH($L72,$B$61:$B$74,0),MATCH($M$60,$A$61:$H$61,0))*고양시_Modal_split!I$3 * 0.01</f>
        <v>2.8764131737311844</v>
      </c>
      <c r="T72" s="206">
        <f>INDEX($A$61:$H$74,MATCH($L72,$B$61:$B$74,0),MATCH($M$60,$A$61:$H$61,0))*고양시_Modal_split!J$3 * 0.01</f>
        <v>31.495689571358731</v>
      </c>
      <c r="U72" s="206">
        <f>INDEX($A$61:$H$74,MATCH($L72,$B$61:$B$74,0),MATCH($M$60,$A$61:$H$61,0))*고양시_Modal_split!K$3 * 0.01</f>
        <v>0.15520214966175455</v>
      </c>
      <c r="V72" s="206">
        <f>INDEX($A$61:$H$74,MATCH($L72,$B$61:$B$74,0),MATCH($M$60,$A$61:$H$61,0))*고양시_Modal_split!L$3 * 0.01</f>
        <v>3.1247366131899916</v>
      </c>
      <c r="W72" s="206">
        <f>INDEX($A$61:$H$74,MATCH($L72,$B$61:$B$74,0),MATCH($M$60,$A$61:$H$61,0))*고양시_Modal_split!M$3 * 0.01</f>
        <v>0.237976629481357</v>
      </c>
      <c r="X72" s="206">
        <f>INDEX($A$61:$H$74,MATCH($L72,$B$61:$B$74,0),MATCH($M$60,$A$61:$H$61,0))*고양시_Modal_split!N$3 * 0.01</f>
        <v>0.10346809977450307</v>
      </c>
      <c r="Y72" s="206">
        <f>INDEX($A$61:$H$74,MATCH($L72,$B$61:$B$74,0),MATCH($M$60,$A$61:$H$61,0))*고양시_Modal_split!O$3 * 0.01</f>
        <v>0.18624257959410545</v>
      </c>
      <c r="Z72" s="209">
        <f>INDEX($A$61:$H$74,MATCH($L72,$B$61:$B$74,0),MATCH($M$60,$A$61:$H$61,0))*고양시_Modal_split!P$3 * 0.01</f>
        <v>103.46809977450305</v>
      </c>
      <c r="AA72" s="207">
        <f>INDEX($A$61:$H$74,MATCH($L72,$B$61:$B$74,0),MATCH($AA$60,$A$61:$H$61,0))*고양시_Modal_split!C$3 * 0.01</f>
        <v>2.2528288768786631</v>
      </c>
      <c r="AB72" s="207">
        <f>INDEX($A$61:$H$74,MATCH($L72,$B$61:$B$74,0),MATCH($AA$60,$A$61:$H$61,0))*고양시_Modal_split!D$3 * 0.01</f>
        <v>378.3947931414412</v>
      </c>
      <c r="AC72" s="207">
        <f>INDEX($A$61:$H$74,MATCH($L72,$B$61:$B$74,0),MATCH($AA$60,$A$61:$H$61,0))*고양시_Modal_split!E$3 * 0.01</f>
        <v>45.780701105141397</v>
      </c>
      <c r="AD72" s="207">
        <f>INDEX($A$61:$H$74,MATCH($L72,$B$61:$B$74,0),MATCH($AA$60,$A$61:$H$61,0))*고양시_Modal_split!F$3 * 0.01</f>
        <v>73.780145717776222</v>
      </c>
      <c r="AE72" s="207">
        <f>INDEX($A$61:$H$74,MATCH($L72,$B$61:$B$74,0),MATCH($AA$60,$A$61:$H$61,0))*고양시_Modal_split!G$3 * 0.01</f>
        <v>7.4021520240298928</v>
      </c>
      <c r="AF72" s="207">
        <f>INDEX($A$61:$H$74,MATCH($L72,$B$61:$B$74,0),MATCH($AA$60,$A$61:$H$61,0))*고양시_Modal_split!H$3 * 0.01</f>
        <v>8.0458174174237965E-2</v>
      </c>
      <c r="AG72" s="207">
        <f>INDEX($A$61:$H$74,MATCH($L72,$B$61:$B$74,0),MATCH($AA$60,$A$61:$H$61,0))*고양시_Modal_split!I$3 * 0.01</f>
        <v>22.367372420438155</v>
      </c>
      <c r="AH72" s="207">
        <f>INDEX($A$61:$H$74,MATCH($L72,$B$61:$B$74,0),MATCH($AA$60,$A$61:$H$61,0))*고양시_Modal_split!J$3 * 0.01</f>
        <v>244.91468218638039</v>
      </c>
      <c r="AI72" s="207">
        <f>INDEX($A$61:$H$74,MATCH($L72,$B$61:$B$74,0),MATCH($AA$60,$A$61:$H$61,0))*고양시_Modal_split!K$3 * 0.01</f>
        <v>1.2068726126135696</v>
      </c>
      <c r="AJ72" s="207">
        <f>INDEX($A$61:$H$74,MATCH($L72,$B$61:$B$74,0),MATCH($AA$60,$A$61:$H$61,0))*고양시_Modal_split!L$3 * 0.01</f>
        <v>24.298368600619867</v>
      </c>
      <c r="AK72" s="207">
        <f>INDEX($A$61:$H$74,MATCH($L72,$B$61:$B$74,0),MATCH($AA$60,$A$61:$H$61,0))*고양시_Modal_split!M$3 * 0.01</f>
        <v>1.8505380060074732</v>
      </c>
      <c r="AL72" s="207">
        <f>INDEX($A$61:$H$74,MATCH($L72,$B$61:$B$74,0),MATCH($AA$60,$A$61:$H$61,0))*고양시_Modal_split!N$3 * 0.01</f>
        <v>0.80458174174237973</v>
      </c>
      <c r="AM72" s="207">
        <f>INDEX($A$61:$H$74,MATCH($L72,$B$61:$B$74,0),MATCH($AA$60,$A$61:$H$61,0))*고양시_Modal_split!O$3 * 0.01</f>
        <v>1.4482471351362833</v>
      </c>
      <c r="AN72" s="207">
        <f>INDEX($A$61:$H$74,MATCH($L72,$B$61:$B$74,0),MATCH($AA$60,$A$61:$H$61,0))*고양시_Modal_split!P$3 * 0.01</f>
        <v>804.58174174237968</v>
      </c>
      <c r="AO72" s="303">
        <f>INDEX($A$61:$H$74,MATCH($L72,$B$61:$B$74,0),MATCH($AO$60,$A$61:$H$61,0))*고양시_Modal_split!C$3 * 0.01</f>
        <v>9.9857435442132325E-2</v>
      </c>
      <c r="AP72" s="303">
        <f>INDEX($A$61:$H$74,MATCH($L72,$B$61:$B$74,0),MATCH($AO$60,$A$61:$H$61,0))*고양시_Modal_split!D$3 * 0.01</f>
        <v>16.772482817298155</v>
      </c>
      <c r="AQ72" s="303">
        <f>INDEX($A$61:$H$74,MATCH($L72,$B$61:$B$74,0),MATCH($AO$60,$A$61:$H$61,0))*고양시_Modal_split!E$3 * 0.01</f>
        <v>2.0292457416633316</v>
      </c>
      <c r="AR72" s="303">
        <f>INDEX($A$61:$H$74,MATCH($L72,$B$61:$B$74,0),MATCH($AO$60,$A$61:$H$61,0))*고양시_Modal_split!F$3 * 0.01</f>
        <v>3.2703310107298336</v>
      </c>
      <c r="AS72" s="303">
        <f>INDEX($A$61:$H$74,MATCH($L72,$B$61:$B$74,0),MATCH($AO$60,$A$61:$H$61,0))*고양시_Modal_split!G$3 * 0.01</f>
        <v>0.32810300216700616</v>
      </c>
      <c r="AT72" s="303">
        <f>INDEX($A$61:$H$74,MATCH($L72,$B$61:$B$74,0),MATCH($AO$60,$A$61:$H$61,0))*고양시_Modal_split!H$3 * 0.01</f>
        <v>3.5663369800761546E-3</v>
      </c>
      <c r="AU72" s="303">
        <f>INDEX($A$61:$H$74,MATCH($L72,$B$61:$B$74,0),MATCH($AO$60,$A$61:$H$61,0))*고양시_Modal_split!I$3 * 0.01</f>
        <v>0.99144168046117087</v>
      </c>
      <c r="AV72" s="303">
        <f>INDEX($A$61:$H$74,MATCH($L72,$B$61:$B$74,0),MATCH($AO$60,$A$61:$H$61,0))*고양시_Modal_split!J$3 * 0.01</f>
        <v>10.855929767351816</v>
      </c>
      <c r="AW72" s="303">
        <f>INDEX($A$61:$H$74,MATCH($L72,$B$61:$B$74,0),MATCH($AO$60,$A$61:$H$61,0))*고양시_Modal_split!K$3 * 0.01</f>
        <v>5.3495054701142318E-2</v>
      </c>
      <c r="AX72" s="303">
        <f>INDEX($A$61:$H$74,MATCH($L72,$B$61:$B$74,0),MATCH($AO$60,$A$61:$H$61,0))*고양시_Modal_split!L$3 * 0.01</f>
        <v>1.0770337679829987</v>
      </c>
      <c r="AY72" s="303">
        <f>INDEX($A$61:$H$74,MATCH($L72,$B$61:$B$74,0),MATCH($AO$60,$A$61:$H$61,0))*고양시_Modal_split!M$3 * 0.01</f>
        <v>8.2025750541751541E-2</v>
      </c>
      <c r="AZ72" s="303">
        <f>INDEX($A$61:$H$74,MATCH($L72,$B$61:$B$74,0),MATCH($AO$60,$A$61:$H$61,0))*고양시_Modal_split!N$3 * 0.01</f>
        <v>3.5663369800761548E-2</v>
      </c>
      <c r="BA72" s="207">
        <f>INDEX($A$61:$H$74,MATCH($L72,$B$61:$B$74,0),MATCH($AO$60,$A$61:$H$61,0))*고양시_Modal_split!O$3 * 0.01</f>
        <v>6.4194065641370784E-2</v>
      </c>
      <c r="BB72" s="207">
        <f>INDEX($A$61:$H$74,MATCH($L72,$B$61:$B$74,0),MATCH($AO$60,$A$61:$H$61,0))*고양시_Modal_split!P$3 * 0.01</f>
        <v>35.663369800761544</v>
      </c>
      <c r="BC72" s="207">
        <f>INDEX($A$61:$H$74,MATCH($L72,$B$61:$B$74,0),MATCH($BC$60,$A$61:$H$61,0))*고양시_Modal_split!C$3 * 0.01</f>
        <v>2.7079982492781741E-4</v>
      </c>
      <c r="BD72" s="207">
        <f>INDEX($A$61:$H$74,MATCH($L72,$B$61:$B$74,0),MATCH($BC$60,$A$61:$H$61,0))*고양시_Modal_split!D$3 * 0.01</f>
        <v>4.5484699165554483E-2</v>
      </c>
      <c r="BE72" s="207">
        <f>INDEX($A$61:$H$74,MATCH($L72,$B$61:$B$74,0),MATCH($BC$60,$A$61:$H$61,0))*고양시_Modal_split!E$3 * 0.01</f>
        <v>5.5030392994260035E-3</v>
      </c>
      <c r="BF72" s="207">
        <f>INDEX($A$61:$H$74,MATCH($L72,$B$61:$B$74,0),MATCH($BC$60,$A$61:$H$61,0))*고양시_Modal_split!F$3 * 0.01</f>
        <v>8.8686942663860208E-3</v>
      </c>
      <c r="BG72" s="207">
        <f>INDEX($A$61:$H$74,MATCH($L72,$B$61:$B$74,0),MATCH($BC$60,$A$61:$H$61,0))*고양시_Modal_split!G$3 * 0.01</f>
        <v>8.8977085333425722E-4</v>
      </c>
      <c r="BH72" s="207">
        <f>INDEX($A$61:$H$74,MATCH($L72,$B$61:$B$74,0),MATCH($BC$60,$A$61:$H$61,0))*고양시_Modal_split!H$3 * 0.01</f>
        <v>9.6714223188506236E-6</v>
      </c>
      <c r="BI72" s="207">
        <f>INDEX($A$61:$H$74,MATCH($L72,$B$61:$B$74,0),MATCH($BC$60,$A$61:$H$61,0))*고양시_Modal_split!I$3 * 0.01</f>
        <v>2.6886554046404733E-3</v>
      </c>
      <c r="BJ72" s="207">
        <f>INDEX($A$61:$H$74,MATCH($L72,$B$61:$B$74,0),MATCH($BC$60,$A$61:$H$61,0))*고양시_Modal_split!J$3 * 0.01</f>
        <v>2.9439809538581298E-2</v>
      </c>
      <c r="BK72" s="207">
        <f>INDEX($A$61:$H$74,MATCH($L72,$B$61:$B$74,0),MATCH($BC$60,$A$61:$H$61,0))*고양시_Modal_split!K$3 * 0.01</f>
        <v>1.4507133478275933E-4</v>
      </c>
      <c r="BL72" s="207">
        <f>INDEX($A$61:$H$74,MATCH($L72,$B$61:$B$74,0),MATCH($BC$60,$A$61:$H$61,0))*고양시_Modal_split!L$3 * 0.01</f>
        <v>2.9207695402928878E-3</v>
      </c>
      <c r="BM72" s="207">
        <f>INDEX($A$61:$H$74,MATCH($L72,$B$61:$B$74,0),MATCH($BC$60,$A$61:$H$61,0))*고양시_Modal_split!M$3 * 0.01</f>
        <v>2.224427133335643E-4</v>
      </c>
      <c r="BN72" s="207">
        <f>INDEX($A$61:$H$74,MATCH($L72,$B$61:$B$74,0),MATCH($BC$60,$A$61:$H$61,0))*고양시_Modal_split!N$3 * 0.01</f>
        <v>9.6714223188506233E-5</v>
      </c>
      <c r="BO72" s="207">
        <f>INDEX($A$61:$H$74,MATCH($L72,$B$61:$B$74,0),MATCH($BC$60,$A$61:$H$61,0))*고양시_Modal_split!O$3 * 0.01</f>
        <v>1.740856017393112E-4</v>
      </c>
      <c r="BP72" s="207">
        <f>INDEX($A$61:$H$74,MATCH($L72,$B$61:$B$74,0),MATCH($BC$60,$A$61:$H$61,0))*고양시_Modal_split!P$3 * 0.01</f>
        <v>9.6714223188506226E-2</v>
      </c>
      <c r="BQ72" s="207">
        <f>INDEX($A$61:$H$74,MATCH($L72,$B$61:$B$74,0),MATCH($BQ$60,$A$61:$H$61,0))*고양시_Modal_split!C$3 * 0.01</f>
        <v>7.6726617062881214E-4</v>
      </c>
      <c r="BR72" s="207">
        <f>INDEX($A$61:$H$74,MATCH($L72,$B$61:$B$74,0),MATCH($BQ$60,$A$61:$H$61,0))*고양시_Modal_split!D$3 * 0.01</f>
        <v>0.1288733143024037</v>
      </c>
      <c r="BS72" s="207">
        <f>INDEX($A$61:$H$74,MATCH($L72,$B$61:$B$74,0),MATCH($BQ$60,$A$61:$H$61,0))*고양시_Modal_split!E$3 * 0.01</f>
        <v>1.5591944681706934E-2</v>
      </c>
      <c r="BT72" s="207">
        <f>INDEX($A$61:$H$74,MATCH($L72,$B$61:$B$74,0),MATCH($BQ$60,$A$61:$H$61,0))*고양시_Modal_split!F$3 * 0.01</f>
        <v>2.5127967088093599E-2</v>
      </c>
      <c r="BU72" s="207">
        <f>INDEX($A$61:$H$74,MATCH($L72,$B$61:$B$74,0),MATCH($BQ$60,$A$61:$H$61,0))*고양시_Modal_split!G$3 * 0.01</f>
        <v>2.5210174177803832E-3</v>
      </c>
      <c r="BV72" s="207">
        <f>INDEX($A$61:$H$74,MATCH($L72,$B$61:$B$74,0),MATCH($BQ$60,$A$61:$H$61,0))*고양시_Modal_split!H$3 * 0.01</f>
        <v>2.7402363236743296E-5</v>
      </c>
      <c r="BW72" s="207">
        <f>INDEX($A$61:$H$74,MATCH($L72,$B$61:$B$74,0),MATCH($BQ$60,$A$61:$H$61,0))*고양시_Modal_split!I$3 * 0.01</f>
        <v>7.6178569798146349E-3</v>
      </c>
      <c r="BX72" s="207">
        <f>INDEX($A$61:$H$74,MATCH($L72,$B$61:$B$74,0),MATCH($BQ$60,$A$61:$H$61,0))*고양시_Modal_split!J$3 * 0.01</f>
        <v>8.3412793692646578E-2</v>
      </c>
      <c r="BY72" s="207">
        <f>INDEX($A$61:$H$74,MATCH($L72,$B$61:$B$74,0),MATCH($BQ$60,$A$61:$H$61,0))*고양시_Modal_split!K$3 * 0.01</f>
        <v>4.1103544855114937E-4</v>
      </c>
      <c r="BZ72" s="207">
        <f>INDEX($A$61:$H$74,MATCH($L72,$B$61:$B$74,0),MATCH($BQ$60,$A$61:$H$61,0))*고양시_Modal_split!L$3 * 0.01</f>
        <v>8.2755136974964755E-3</v>
      </c>
      <c r="CA72" s="207">
        <f>INDEX($A$61:$H$74,MATCH($L72,$B$61:$B$74,0),MATCH($BQ$60,$A$61:$H$61,0))*고양시_Modal_split!M$3 * 0.01</f>
        <v>6.3025435444509579E-4</v>
      </c>
      <c r="CB72" s="207">
        <f>INDEX($A$61:$H$74,MATCH($L72,$B$61:$B$74,0),MATCH($BQ$60,$A$61:$H$61,0))*고양시_Modal_split!N$3 * 0.01</f>
        <v>2.7402363236743297E-4</v>
      </c>
      <c r="CC72" s="207">
        <f>INDEX($A$61:$H$74,MATCH($L72,$B$61:$B$74,0),MATCH($BQ$60,$A$61:$H$61,0))*고양시_Modal_split!O$3 * 0.01</f>
        <v>4.9324253826137933E-4</v>
      </c>
      <c r="CD72" s="207">
        <f>INDEX($A$61:$H$74,MATCH($L72,$B$61:$B$74,0),MATCH($BQ$60,$A$61:$H$61,0))*고양시_Modal_split!P$3 * 0.01</f>
        <v>0.27402363236743293</v>
      </c>
      <c r="CE72" s="304">
        <f t="shared" si="31"/>
        <v>2.6434350576849601</v>
      </c>
      <c r="CF72" s="304">
        <f t="shared" si="13"/>
        <v>444.00268129615608</v>
      </c>
      <c r="CG72" s="304">
        <f t="shared" si="14"/>
        <v>53.718376707955088</v>
      </c>
      <c r="CH72" s="304">
        <f t="shared" si="15"/>
        <v>86.572498139182457</v>
      </c>
      <c r="CI72" s="304">
        <f t="shared" si="16"/>
        <v>8.6855723323934431</v>
      </c>
      <c r="CJ72" s="304">
        <f t="shared" si="17"/>
        <v>9.4408394917320004E-2</v>
      </c>
      <c r="CK72" s="304">
        <f t="shared" si="18"/>
        <v>26.245533787014963</v>
      </c>
      <c r="CL72" s="304">
        <f t="shared" si="19"/>
        <v>287.37915412832223</v>
      </c>
      <c r="CM72" s="304">
        <f t="shared" si="20"/>
        <v>1.4161259237598005</v>
      </c>
      <c r="CN72" s="304">
        <f t="shared" si="21"/>
        <v>28.511335265030649</v>
      </c>
      <c r="CO72" s="304">
        <f t="shared" si="22"/>
        <v>2.1713930830983608</v>
      </c>
      <c r="CP72" s="304">
        <f t="shared" si="23"/>
        <v>0.94408394917320027</v>
      </c>
      <c r="CQ72" s="304">
        <f t="shared" si="24"/>
        <v>1.6993511085117603</v>
      </c>
      <c r="CR72" s="304">
        <f t="shared" si="25"/>
        <v>944.08394917320015</v>
      </c>
      <c r="CS72" s="305">
        <f t="shared" si="32"/>
        <v>0</v>
      </c>
      <c r="CV72" s="267" t="s">
        <v>170</v>
      </c>
      <c r="CW72" s="267" t="s">
        <v>170</v>
      </c>
      <c r="CX72" s="267">
        <f>INDEX($M$60:$Z$74,MATCH($CW72,$L$60:$L$74,0),MATCH(CX$61,$M$61:$Z$61,0))/INDEX(고양시_재차인원!$D$4:$H$35,MATCH("고양시",고양시_재차인원!$B$4:$B$35,0),MATCH($CX$60,고양시_재차인원!$D$4:$H$4,0))</f>
        <v>43.447363682097127</v>
      </c>
      <c r="CY72" s="267">
        <f>INDEX($M$60:$Z$74,MATCH($CW72,$L$60:$L$74,0),MATCH(CY$61,$M$61:$Z$61,0))/INDEX(고양시_재차인원!$K$4:$O$20,MATCH("경기도",고양시_재차인원!$K$4:$K$20,0),MATCH($CY$61,고양시_재차인원!$K$4:$O$4,0))</f>
        <v>3.5938902318340761E-4</v>
      </c>
      <c r="CZ72" s="267">
        <f>INDEX($M$60:$Z$74,MATCH($CW72,$L$60:$L$74,0),MATCH(CZ$61,$M$61:$Z$61,0))/INDEX(고양시_재차인원!$K$4:$O$20,MATCH("경기도",고양시_재차인원!$K$4:$K$20,0),MATCH($CZ$61,고양시_재차인원!$K$4:$O$4,0))</f>
        <v>9.9910148444987301E-2</v>
      </c>
      <c r="DA72" s="267">
        <f>INDEX($M$60:$Z$74,MATCH($CW72,$L$60:$L$74,0),MATCH(DA$61,$M$61:$Z$61,0))/INDEX(고양시_재차인원!$D$4:$H$35,MATCH("고양시",고양시_재차인원!$B$4:$B$35,0),MATCH($CX$60,고양시_재차인원!$D$4:$H$4,0))</f>
        <v>2.7899434046339207</v>
      </c>
      <c r="DB72" s="267">
        <f>INDEX($AA$60:$AN$74,MATCH($CW72,$L$60:$L$74,0),MATCH(DB$61,$AA$61:$AN$61,0))/INDEX(고양시_재차인원!$D$4:$H$35,MATCH("고양시",고양시_재차인원!$B$4:$B$35,0),MATCH($DB$60,고양시_재차인원!$D$4:$H$4,0))</f>
        <v>268.36510151875262</v>
      </c>
      <c r="DC72" s="267">
        <f>INDEX($AA$60:$AN$74,MATCH($CW72,$L$60:$L$74,0),MATCH(DC$61,$AA$61:$AN$61,0))/INDEX(고양시_재차인원!$K$4:$O$20,MATCH("경기도",고양시_재차인원!$K$4:$K$20,0),MATCH($DC$61,고양시_재차인원!$K$4:$O$4,0))</f>
        <v>2.7946569702757195E-3</v>
      </c>
      <c r="DD72" s="267">
        <f>INDEX($AA$60:$AN$74,MATCH($CW72,$L$60:$L$74,0),MATCH(DD$61,$AA$61:$AN$61,0))/INDEX(고양시_재차인원!$K$4:$O$20,MATCH("경기도",고양시_재차인원!$K$4:$K$20,0),MATCH($DD$61,고양시_재차인원!$K$4:$O$4,0))</f>
        <v>0.77691463773665004</v>
      </c>
      <c r="DE72" s="267">
        <f>INDEX($AA$60:$AN$74,MATCH($CW72,$L$60:$L$74,0),MATCH(DE$61,$AA$61:$AN$61,0))/INDEX(고양시_재차인원!$D$4:$H$35,MATCH("고양시",고양시_재차인원!$B$4:$B$35,0),MATCH($DB$60,고양시_재차인원!$D$4:$H$4,0))</f>
        <v>17.232885532354516</v>
      </c>
      <c r="DF72" s="267">
        <f>INDEX($AO$60:$BB$74,MATCH($CW72,$L$60:$L$74,0),MATCH(DF$61,$AO$61:$BB$61,0))/INDEX(고양시_재차인원!$D$4:$H$35,MATCH("고양시",고양시_재차인원!$B$4:$B$35,0),MATCH($DF$60,고양시_재차인원!$D$4:$H$4,0))</f>
        <v>12.901909859460119</v>
      </c>
      <c r="DG72" s="267">
        <f>INDEX($AO$60:$BB$74,MATCH($CW72,$L$60:$L$74,0),MATCH(DG$61,$AO$61:$BB$61,0))/INDEX(고양시_재차인원!$K$4:$O$20,MATCH("경기도",고양시_재차인원!$K$4:$K$20,0),MATCH($DG$61,고양시_재차인원!$K$4:$O$4,0))</f>
        <v>1.2387415700160315E-4</v>
      </c>
      <c r="DH72" s="267">
        <f>INDEX($AO$60:$BB$74,MATCH($CW72,$L$60:$L$74,0),MATCH(DH$61,$AO$61:$BB$61,0))/INDEX(고양시_재차인원!$K$4:$O$20,MATCH("경기도",고양시_재차인원!$K$4:$K$20,0),MATCH($DH$61,고양시_재차인원!$K$4:$O$4,0))</f>
        <v>3.4437015646445669E-2</v>
      </c>
      <c r="DI72" s="267">
        <f>INDEX($AO$60:$BB$74,MATCH($CW72,$L$60:$L$74,0),MATCH(DI$61,$AO$61:$BB$61,0))/INDEX(고양시_재차인원!$D$4:$H$35,MATCH("고양시",고양시_재차인원!$B$4:$B$35,0),MATCH($DF$60,고양시_재차인원!$D$4:$H$4,0))</f>
        <v>0.82848751383307584</v>
      </c>
      <c r="DJ72" s="267">
        <f>INDEX($BC$60:$BP$74,MATCH($CW72,$L$60:$L$74,0),MATCH(DJ$61,$BC$61:$BP$61,0))/INDEX(고양시_재차인원!$D$4:$H$35,MATCH("고양시",고양시_재차인원!$B$4:$B$35,0),MATCH($DJ$60,고양시_재차인원!$D$4:$H$4,0))</f>
        <v>3.3444631739378297E-2</v>
      </c>
      <c r="DK72" s="267">
        <f>INDEX($BC$60:$BP$74,MATCH($CW72,$L$60:$L$74,0),MATCH(DK$61,$BC$61:$BP$61,0))/INDEX(고양시_재차인원!$K$4:$O$20,MATCH("경기도",고양시_재차인원!$K$4:$K$20,0),MATCH($DK$61,고양시_재차인원!$K$4:$O$4,0))</f>
        <v>3.3592991729248432E-7</v>
      </c>
      <c r="DL72" s="267">
        <f>INDEX($BC$60:$BP$74,MATCH($CW72,$L$60:$L$74,0),MATCH(DL$61,$BC$61:$BP$61,0))/INDEX(고양시_재차인원!$K$4:$O$20,MATCH("경기도",고양시_재차인원!$K$4:$K$20,0),MATCH($DL$61,고양시_재차인원!$K$4:$O$4,0))</f>
        <v>9.3388517007310642E-5</v>
      </c>
      <c r="DM72" s="267">
        <f>INDEX($BC$60:$BP$74,MATCH($CW72,$L$60:$L$74,0),MATCH(DM$61,$BC$61:$BP$61,0))/INDEX(고양시_재차인원!$D$4:$H$35,MATCH("고양시",고양시_재차인원!$B$4:$B$35,0),MATCH($DJ$60,고양시_재차인원!$D$4:$H$4,0))</f>
        <v>2.1476246619800644E-3</v>
      </c>
      <c r="DN72" s="267">
        <f>INDEX($BQ$60:$CD$74,MATCH($CW72,$L$60:$L$74,0),MATCH(DN$61,$BQ$61:$CD$61,0))/INDEX(고양시_재차인원!$D$4:$H$35,MATCH("고양시",고양시_재차인원!$B$4:$B$35,0),MATCH($DN$60,고양시_재차인원!$D$4:$H$4,0))</f>
        <v>0.10228040817651088</v>
      </c>
      <c r="DO72" s="267">
        <f>INDEX($BQ$60:$CD$74,MATCH($CW72,$L$60:$L$74,0),MATCH(DO$61,$BQ$61:$CD$61,0))/INDEX(고양시_재차인원!$K$4:$O$20,MATCH("경기도",고양시_재차인원!$K$4:$K$20,0),MATCH($DO$61,고양시_재차인원!$K$4:$O$4,0))</f>
        <v>9.5180143232870082E-7</v>
      </c>
      <c r="DP72" s="267">
        <f>INDEX($BQ$60:$CD$74,MATCH($CW72,$L$60:$L$74,0),MATCH(DP$61,$BQ$61:$CD$61,0))/INDEX(고양시_재차인원!$K$4:$O$20,MATCH("경기도",고양시_재차인원!$K$4:$K$20,0),MATCH($DP$61,고양시_재차인원!$K$4:$O$4,0))</f>
        <v>2.646007981873788E-4</v>
      </c>
      <c r="DQ72" s="267">
        <f>INDEX($BQ$60:$CD$74,MATCH($CW72,$L$60:$L$74,0),MATCH(DQ$61,$BQ$61:$CD$61,0))/INDEX(고양시_재차인원!$D$4:$H$35,MATCH("고양시",고양시_재차인원!$B$4:$B$35,0),MATCH($DN$60,고양시_재차인원!$D$4:$H$4,0))</f>
        <v>6.5678680138860912E-3</v>
      </c>
      <c r="DR72" s="270">
        <f t="shared" si="33"/>
        <v>324.85010010022575</v>
      </c>
      <c r="DS72" s="270">
        <f t="shared" si="26"/>
        <v>3.2792078818103519E-3</v>
      </c>
      <c r="DT72" s="270">
        <f t="shared" si="27"/>
        <v>0.91161979114327774</v>
      </c>
      <c r="DU72" s="270">
        <f t="shared" si="28"/>
        <v>20.860031943497376</v>
      </c>
      <c r="DW72" s="278" t="s">
        <v>170</v>
      </c>
      <c r="DX72" s="278" t="s">
        <v>170</v>
      </c>
      <c r="DY72" s="281">
        <f t="shared" si="41"/>
        <v>345.71013204372309</v>
      </c>
      <c r="DZ72" s="281">
        <f t="shared" si="42"/>
        <v>0.91489899902508809</v>
      </c>
      <c r="EB72" s="278" t="s">
        <v>171</v>
      </c>
      <c r="EC72" s="278" t="s">
        <v>171</v>
      </c>
      <c r="ED72" s="281">
        <f t="shared" si="45"/>
        <v>13.884706905564821</v>
      </c>
      <c r="EE72" s="281">
        <f t="shared" si="44"/>
        <v>3.6744958484616737E-2</v>
      </c>
      <c r="EK72" s="420" t="s">
        <v>47</v>
      </c>
      <c r="EL72" s="420" t="s">
        <v>47</v>
      </c>
      <c r="EM72" s="420" t="s">
        <v>572</v>
      </c>
      <c r="EN72" s="420">
        <v>2430.8498</v>
      </c>
      <c r="EO72" s="420">
        <v>0.25465418977491561</v>
      </c>
      <c r="EP72" s="421">
        <v>849011</v>
      </c>
      <c r="EQ72" s="422">
        <f t="shared" si="37"/>
        <v>64.456022440287782</v>
      </c>
      <c r="ER72" s="422">
        <f t="shared" si="38"/>
        <v>0.17057860023697446</v>
      </c>
      <c r="ES72">
        <v>0</v>
      </c>
      <c r="EU72" s="306" t="s">
        <v>47</v>
      </c>
      <c r="EV72" s="306" t="s">
        <v>47</v>
      </c>
      <c r="EW72" s="306" t="s">
        <v>572</v>
      </c>
      <c r="EX72" s="306">
        <v>2430.8498</v>
      </c>
      <c r="EY72" s="306">
        <v>0.25465418977491561</v>
      </c>
      <c r="EZ72" s="307">
        <v>849011</v>
      </c>
      <c r="FA72" s="308">
        <f t="shared" si="39"/>
        <v>64.456022440287782</v>
      </c>
      <c r="FB72" s="308">
        <f t="shared" si="30"/>
        <v>0.17057860023697446</v>
      </c>
      <c r="FD72" s="101"/>
      <c r="FE72" s="101"/>
      <c r="FF72" s="101"/>
      <c r="FG72" s="101"/>
      <c r="FH72" s="101"/>
      <c r="FI72" s="374"/>
      <c r="FJ72" s="404"/>
      <c r="FK72" s="404"/>
    </row>
    <row r="73" spans="1:167">
      <c r="A73" s="205" t="s">
        <v>171</v>
      </c>
      <c r="B73" s="205" t="s">
        <v>171</v>
      </c>
      <c r="C73" s="201">
        <f>$L40*KTDB_TripDistribution_2025!L$12</f>
        <v>4.1555745877387746</v>
      </c>
      <c r="D73" s="201">
        <f>$L40*KTDB_TripDistribution_2025!M$12</f>
        <v>32.314302157186717</v>
      </c>
      <c r="E73" s="201">
        <f>$L40*KTDB_TripDistribution_2025!N$12</f>
        <v>1.4323428533061306</v>
      </c>
      <c r="F73" s="201">
        <f>$L40*KTDB_TripDistribution_2025!O$12</f>
        <v>3.884319602186131E-3</v>
      </c>
      <c r="G73" s="201">
        <f>$L40*KTDB_TripDistribution_2025!P$12</f>
        <v>1.1005572206193984E-2</v>
      </c>
      <c r="H73" s="201">
        <f>$L40*KTDB_TripDistribution_2025!Q$12</f>
        <v>37.917109490040005</v>
      </c>
      <c r="I73" s="56"/>
      <c r="J73" s="56"/>
      <c r="K73" s="206" t="s">
        <v>171</v>
      </c>
      <c r="L73" s="206" t="s">
        <v>171</v>
      </c>
      <c r="M73" s="206">
        <f>INDEX($A$61:$H$74,MATCH($L73,$B$61:$B$74,0),MATCH($M$60,$A$61:$H$61,0))*고양시_Modal_split!C$3 * 0.01</f>
        <v>1.1635608845668569E-2</v>
      </c>
      <c r="N73" s="206">
        <f>INDEX($A$61:$H$74,MATCH($L73,$B$61:$B$74,0),MATCH($M$60,$A$61:$H$61,0))*고양시_Modal_split!D$3 * 0.01</f>
        <v>1.9543667286135458</v>
      </c>
      <c r="O73" s="206">
        <f>INDEX($A$61:$H$74,MATCH($L73,$B$61:$B$74,0),MATCH($M$60,$A$61:$H$61,0))*고양시_Modal_split!E$3 * 0.01</f>
        <v>0.23645219404233625</v>
      </c>
      <c r="P73" s="206">
        <f>INDEX($A$61:$H$74,MATCH($L73,$B$61:$B$74,0),MATCH($M$60,$A$61:$H$61,0))*고양시_Modal_split!F$3 * 0.01</f>
        <v>0.38106618969564565</v>
      </c>
      <c r="Q73" s="206">
        <f>INDEX($A$61:$H$74,MATCH($L73,$B$61:$B$74,0),MATCH($M$60,$A$61:$H$61,0))*고양시_Modal_split!G$3 * 0.01</f>
        <v>3.8231286207196721E-2</v>
      </c>
      <c r="R73" s="206">
        <f>INDEX($A$61:$H$74,MATCH($L73,$B$61:$B$74,0),MATCH($M$60,$A$61:$H$61,0))*고양시_Modal_split!H$3 * 0.01</f>
        <v>4.1555745877387744E-4</v>
      </c>
      <c r="S73" s="206">
        <f>INDEX($A$61:$H$74,MATCH($L73,$B$61:$B$74,0),MATCH($M$60,$A$61:$H$61,0))*고양시_Modal_split!I$3 * 0.01</f>
        <v>0.11552497353913793</v>
      </c>
      <c r="T73" s="206">
        <f>INDEX($A$61:$H$74,MATCH($L73,$B$61:$B$74,0),MATCH($M$60,$A$61:$H$61,0))*고양시_Modal_split!J$3 * 0.01</f>
        <v>1.2649569045076832</v>
      </c>
      <c r="U73" s="206">
        <f>INDEX($A$61:$H$74,MATCH($L73,$B$61:$B$74,0),MATCH($M$60,$A$61:$H$61,0))*고양시_Modal_split!K$3 * 0.01</f>
        <v>6.2333618816081612E-3</v>
      </c>
      <c r="V73" s="206">
        <f>INDEX($A$61:$H$74,MATCH($L73,$B$61:$B$74,0),MATCH($M$60,$A$61:$H$61,0))*고양시_Modal_split!L$3 * 0.01</f>
        <v>0.12549835254971101</v>
      </c>
      <c r="W73" s="206">
        <f>INDEX($A$61:$H$74,MATCH($L73,$B$61:$B$74,0),MATCH($M$60,$A$61:$H$61,0))*고양시_Modal_split!M$3 * 0.01</f>
        <v>9.5578215517991803E-3</v>
      </c>
      <c r="X73" s="206">
        <f>INDEX($A$61:$H$74,MATCH($L73,$B$61:$B$74,0),MATCH($M$60,$A$61:$H$61,0))*고양시_Modal_split!N$3 * 0.01</f>
        <v>4.1555745877387747E-3</v>
      </c>
      <c r="Y73" s="206">
        <f>INDEX($A$61:$H$74,MATCH($L73,$B$61:$B$74,0),MATCH($M$60,$A$61:$H$61,0))*고양시_Modal_split!O$3 * 0.01</f>
        <v>7.4800342579297938E-3</v>
      </c>
      <c r="Z73" s="209">
        <f>INDEX($A$61:$H$74,MATCH($L73,$B$61:$B$74,0),MATCH($M$60,$A$61:$H$61,0))*고양시_Modal_split!P$3 * 0.01</f>
        <v>4.1555745877387746</v>
      </c>
      <c r="AA73" s="207">
        <f>INDEX($A$61:$H$74,MATCH($L73,$B$61:$B$74,0),MATCH($AA$60,$A$61:$H$61,0))*고양시_Modal_split!C$3 * 0.01</f>
        <v>9.0480046040122789E-2</v>
      </c>
      <c r="AB73" s="207">
        <f>INDEX($A$61:$H$74,MATCH($L73,$B$61:$B$74,0),MATCH($AA$60,$A$61:$H$61,0))*고양시_Modal_split!D$3 * 0.01</f>
        <v>15.197416304524914</v>
      </c>
      <c r="AC73" s="207">
        <f>INDEX($A$61:$H$74,MATCH($L73,$B$61:$B$74,0),MATCH($AA$60,$A$61:$H$61,0))*고양시_Modal_split!E$3 * 0.01</f>
        <v>1.8386837927439239</v>
      </c>
      <c r="AD73" s="207">
        <f>INDEX($A$61:$H$74,MATCH($L73,$B$61:$B$74,0),MATCH($AA$60,$A$61:$H$61,0))*고양시_Modal_split!F$3 * 0.01</f>
        <v>2.9632215078140218</v>
      </c>
      <c r="AE73" s="207">
        <f>INDEX($A$61:$H$74,MATCH($L73,$B$61:$B$74,0),MATCH($AA$60,$A$61:$H$61,0))*고양시_Modal_split!G$3 * 0.01</f>
        <v>0.29729157984611776</v>
      </c>
      <c r="AF73" s="207">
        <f>INDEX($A$61:$H$74,MATCH($L73,$B$61:$B$74,0),MATCH($AA$60,$A$61:$H$61,0))*고양시_Modal_split!H$3 * 0.01</f>
        <v>3.2314302157186721E-3</v>
      </c>
      <c r="AG73" s="207">
        <f>INDEX($A$61:$H$74,MATCH($L73,$B$61:$B$74,0),MATCH($AA$60,$A$61:$H$61,0))*고양시_Modal_split!I$3 * 0.01</f>
        <v>0.89833759996979068</v>
      </c>
      <c r="AH73" s="207">
        <f>INDEX($A$61:$H$74,MATCH($L73,$B$61:$B$74,0),MATCH($AA$60,$A$61:$H$61,0))*고양시_Modal_split!J$3 * 0.01</f>
        <v>9.8364735766476379</v>
      </c>
      <c r="AI73" s="207">
        <f>INDEX($A$61:$H$74,MATCH($L73,$B$61:$B$74,0),MATCH($AA$60,$A$61:$H$61,0))*고양시_Modal_split!K$3 * 0.01</f>
        <v>4.8471453235780074E-2</v>
      </c>
      <c r="AJ73" s="207">
        <f>INDEX($A$61:$H$74,MATCH($L73,$B$61:$B$74,0),MATCH($AA$60,$A$61:$H$61,0))*고양시_Modal_split!L$3 * 0.01</f>
        <v>0.97589192514703882</v>
      </c>
      <c r="AK73" s="207">
        <f>INDEX($A$61:$H$74,MATCH($L73,$B$61:$B$74,0),MATCH($AA$60,$A$61:$H$61,0))*고양시_Modal_split!M$3 * 0.01</f>
        <v>7.432289496152944E-2</v>
      </c>
      <c r="AL73" s="207">
        <f>INDEX($A$61:$H$74,MATCH($L73,$B$61:$B$74,0),MATCH($AA$60,$A$61:$H$61,0))*고양시_Modal_split!N$3 * 0.01</f>
        <v>3.2314302157186718E-2</v>
      </c>
      <c r="AM73" s="207">
        <f>INDEX($A$61:$H$74,MATCH($L73,$B$61:$B$74,0),MATCH($AA$60,$A$61:$H$61,0))*고양시_Modal_split!O$3 * 0.01</f>
        <v>5.8165743882936091E-2</v>
      </c>
      <c r="AN73" s="207">
        <f>INDEX($A$61:$H$74,MATCH($L73,$B$61:$B$74,0),MATCH($AA$60,$A$61:$H$61,0))*고양시_Modal_split!P$3 * 0.01</f>
        <v>32.314302157186717</v>
      </c>
      <c r="AO73" s="303">
        <f>INDEX($A$61:$H$74,MATCH($L73,$B$61:$B$74,0),MATCH($AO$60,$A$61:$H$61,0))*고양시_Modal_split!C$3 * 0.01</f>
        <v>4.0105599892571652E-3</v>
      </c>
      <c r="AP73" s="303">
        <f>INDEX($A$61:$H$74,MATCH($L73,$B$61:$B$74,0),MATCH($AO$60,$A$61:$H$61,0))*고양시_Modal_split!D$3 * 0.01</f>
        <v>0.67363084390987327</v>
      </c>
      <c r="AQ73" s="303">
        <f>INDEX($A$61:$H$74,MATCH($L73,$B$61:$B$74,0),MATCH($AO$60,$A$61:$H$61,0))*고양시_Modal_split!E$3 * 0.01</f>
        <v>8.1500308353118833E-2</v>
      </c>
      <c r="AR73" s="303">
        <f>INDEX($A$61:$H$74,MATCH($L73,$B$61:$B$74,0),MATCH($AO$60,$A$61:$H$61,0))*고양시_Modal_split!F$3 * 0.01</f>
        <v>0.13134583964817217</v>
      </c>
      <c r="AS73" s="303">
        <f>INDEX($A$61:$H$74,MATCH($L73,$B$61:$B$74,0),MATCH($AO$60,$A$61:$H$61,0))*고양시_Modal_split!G$3 * 0.01</f>
        <v>1.3177554250416402E-2</v>
      </c>
      <c r="AT73" s="303">
        <f>INDEX($A$61:$H$74,MATCH($L73,$B$61:$B$74,0),MATCH($AO$60,$A$61:$H$61,0))*고양시_Modal_split!H$3 * 0.01</f>
        <v>1.4323428533061306E-4</v>
      </c>
      <c r="AU73" s="303">
        <f>INDEX($A$61:$H$74,MATCH($L73,$B$61:$B$74,0),MATCH($AO$60,$A$61:$H$61,0))*고양시_Modal_split!I$3 * 0.01</f>
        <v>3.981913132191043E-2</v>
      </c>
      <c r="AV73" s="303">
        <f>INDEX($A$61:$H$74,MATCH($L73,$B$61:$B$74,0),MATCH($AO$60,$A$61:$H$61,0))*고양시_Modal_split!J$3 * 0.01</f>
        <v>0.43600516454638616</v>
      </c>
      <c r="AW73" s="303">
        <f>INDEX($A$61:$H$74,MATCH($L73,$B$61:$B$74,0),MATCH($AO$60,$A$61:$H$61,0))*고양시_Modal_split!K$3 * 0.01</f>
        <v>2.1485142799591958E-3</v>
      </c>
      <c r="AX73" s="303">
        <f>INDEX($A$61:$H$74,MATCH($L73,$B$61:$B$74,0),MATCH($AO$60,$A$61:$H$61,0))*고양시_Modal_split!L$3 * 0.01</f>
        <v>4.3256754169845146E-2</v>
      </c>
      <c r="AY73" s="303">
        <f>INDEX($A$61:$H$74,MATCH($L73,$B$61:$B$74,0),MATCH($AO$60,$A$61:$H$61,0))*고양시_Modal_split!M$3 * 0.01</f>
        <v>3.2943885626041006E-3</v>
      </c>
      <c r="AZ73" s="303">
        <f>INDEX($A$61:$H$74,MATCH($L73,$B$61:$B$74,0),MATCH($AO$60,$A$61:$H$61,0))*고양시_Modal_split!N$3 * 0.01</f>
        <v>1.4323428533061309E-3</v>
      </c>
      <c r="BA73" s="207">
        <f>INDEX($A$61:$H$74,MATCH($L73,$B$61:$B$74,0),MATCH($AO$60,$A$61:$H$61,0))*고양시_Modal_split!O$3 * 0.01</f>
        <v>2.5782171359510354E-3</v>
      </c>
      <c r="BB73" s="207">
        <f>INDEX($A$61:$H$74,MATCH($L73,$B$61:$B$74,0),MATCH($AO$60,$A$61:$H$61,0))*고양시_Modal_split!P$3 * 0.01</f>
        <v>1.4323428533061306</v>
      </c>
      <c r="BC73" s="207">
        <f>INDEX($A$61:$H$74,MATCH($L73,$B$61:$B$74,0),MATCH($BC$60,$A$61:$H$61,0))*고양시_Modal_split!C$3 * 0.01</f>
        <v>1.0876094886121166E-5</v>
      </c>
      <c r="BD73" s="207">
        <f>INDEX($A$61:$H$74,MATCH($L73,$B$61:$B$74,0),MATCH($BC$60,$A$61:$H$61,0))*고양시_Modal_split!D$3 * 0.01</f>
        <v>1.8267955089081376E-3</v>
      </c>
      <c r="BE73" s="207">
        <f>INDEX($A$61:$H$74,MATCH($L73,$B$61:$B$74,0),MATCH($BC$60,$A$61:$H$61,0))*고양시_Modal_split!E$3 * 0.01</f>
        <v>2.2101778536439085E-4</v>
      </c>
      <c r="BF73" s="207">
        <f>INDEX($A$61:$H$74,MATCH($L73,$B$61:$B$74,0),MATCH($BC$60,$A$61:$H$61,0))*고양시_Modal_split!F$3 * 0.01</f>
        <v>3.5619210752046819E-4</v>
      </c>
      <c r="BG73" s="207">
        <f>INDEX($A$61:$H$74,MATCH($L73,$B$61:$B$74,0),MATCH($BC$60,$A$61:$H$61,0))*고양시_Modal_split!G$3 * 0.01</f>
        <v>3.5735740340112406E-5</v>
      </c>
      <c r="BH73" s="207">
        <f>INDEX($A$61:$H$74,MATCH($L73,$B$61:$B$74,0),MATCH($BC$60,$A$61:$H$61,0))*고양시_Modal_split!H$3 * 0.01</f>
        <v>3.8843196021861312E-7</v>
      </c>
      <c r="BI73" s="207">
        <f>INDEX($A$61:$H$74,MATCH($L73,$B$61:$B$74,0),MATCH($BC$60,$A$61:$H$61,0))*고양시_Modal_split!I$3 * 0.01</f>
        <v>1.0798408494077443E-4</v>
      </c>
      <c r="BJ73" s="207">
        <f>INDEX($A$61:$H$74,MATCH($L73,$B$61:$B$74,0),MATCH($BC$60,$A$61:$H$61,0))*고양시_Modal_split!J$3 * 0.01</f>
        <v>1.1823868869054585E-3</v>
      </c>
      <c r="BK73" s="207">
        <f>INDEX($A$61:$H$74,MATCH($L73,$B$61:$B$74,0),MATCH($BC$60,$A$61:$H$61,0))*고양시_Modal_split!K$3 * 0.01</f>
        <v>5.8264794032791964E-6</v>
      </c>
      <c r="BL73" s="207">
        <f>INDEX($A$61:$H$74,MATCH($L73,$B$61:$B$74,0),MATCH($BC$60,$A$61:$H$61,0))*고양시_Modal_split!L$3 * 0.01</f>
        <v>1.1730645198602115E-4</v>
      </c>
      <c r="BM73" s="207">
        <f>INDEX($A$61:$H$74,MATCH($L73,$B$61:$B$74,0),MATCH($BC$60,$A$61:$H$61,0))*고양시_Modal_split!M$3 * 0.01</f>
        <v>8.9339350850281014E-6</v>
      </c>
      <c r="BN73" s="207">
        <f>INDEX($A$61:$H$74,MATCH($L73,$B$61:$B$74,0),MATCH($BC$60,$A$61:$H$61,0))*고양시_Modal_split!N$3 * 0.01</f>
        <v>3.8843196021861312E-6</v>
      </c>
      <c r="BO73" s="207">
        <f>INDEX($A$61:$H$74,MATCH($L73,$B$61:$B$74,0),MATCH($BC$60,$A$61:$H$61,0))*고양시_Modal_split!O$3 * 0.01</f>
        <v>6.9917752839350362E-6</v>
      </c>
      <c r="BP73" s="207">
        <f>INDEX($A$61:$H$74,MATCH($L73,$B$61:$B$74,0),MATCH($BC$60,$A$61:$H$61,0))*고양시_Modal_split!P$3 * 0.01</f>
        <v>3.884319602186131E-3</v>
      </c>
      <c r="BQ73" s="207">
        <f>INDEX($A$61:$H$74,MATCH($L73,$B$61:$B$74,0),MATCH($BQ$60,$A$61:$H$61,0))*고양시_Modal_split!C$3 * 0.01</f>
        <v>3.0815602177343148E-5</v>
      </c>
      <c r="BR73" s="207">
        <f>INDEX($A$61:$H$74,MATCH($L73,$B$61:$B$74,0),MATCH($BQ$60,$A$61:$H$61,0))*고양시_Modal_split!D$3 * 0.01</f>
        <v>5.1759206085730302E-3</v>
      </c>
      <c r="BS73" s="207">
        <f>INDEX($A$61:$H$74,MATCH($L73,$B$61:$B$74,0),MATCH($BQ$60,$A$61:$H$61,0))*고양시_Modal_split!E$3 * 0.01</f>
        <v>6.2621705853243767E-4</v>
      </c>
      <c r="BT73" s="207">
        <f>INDEX($A$61:$H$74,MATCH($L73,$B$61:$B$74,0),MATCH($BQ$60,$A$61:$H$61,0))*고양시_Modal_split!F$3 * 0.01</f>
        <v>1.0092109713079884E-3</v>
      </c>
      <c r="BU73" s="207">
        <f>INDEX($A$61:$H$74,MATCH($L73,$B$61:$B$74,0),MATCH($BQ$60,$A$61:$H$61,0))*고양시_Modal_split!G$3 * 0.01</f>
        <v>1.0125126429698464E-4</v>
      </c>
      <c r="BV73" s="207">
        <f>INDEX($A$61:$H$74,MATCH($L73,$B$61:$B$74,0),MATCH($BQ$60,$A$61:$H$61,0))*고양시_Modal_split!H$3 * 0.01</f>
        <v>1.1005572206193985E-6</v>
      </c>
      <c r="BW73" s="207">
        <f>INDEX($A$61:$H$74,MATCH($L73,$B$61:$B$74,0),MATCH($BQ$60,$A$61:$H$61,0))*고양시_Modal_split!I$3 * 0.01</f>
        <v>3.0595490733219271E-4</v>
      </c>
      <c r="BX73" s="207">
        <f>INDEX($A$61:$H$74,MATCH($L73,$B$61:$B$74,0),MATCH($BQ$60,$A$61:$H$61,0))*고양시_Modal_split!J$3 * 0.01</f>
        <v>3.3500961795654488E-3</v>
      </c>
      <c r="BY73" s="207">
        <f>INDEX($A$61:$H$74,MATCH($L73,$B$61:$B$74,0),MATCH($BQ$60,$A$61:$H$61,0))*고양시_Modal_split!K$3 * 0.01</f>
        <v>1.6508358309290975E-5</v>
      </c>
      <c r="BZ73" s="207">
        <f>INDEX($A$61:$H$74,MATCH($L73,$B$61:$B$74,0),MATCH($BQ$60,$A$61:$H$61,0))*고양시_Modal_split!L$3 * 0.01</f>
        <v>3.3236828062705831E-4</v>
      </c>
      <c r="CA73" s="207">
        <f>INDEX($A$61:$H$74,MATCH($L73,$B$61:$B$74,0),MATCH($BQ$60,$A$61:$H$61,0))*고양시_Modal_split!M$3 * 0.01</f>
        <v>2.5312816074246161E-5</v>
      </c>
      <c r="CB73" s="207">
        <f>INDEX($A$61:$H$74,MATCH($L73,$B$61:$B$74,0),MATCH($BQ$60,$A$61:$H$61,0))*고양시_Modal_split!N$3 * 0.01</f>
        <v>1.1005572206193984E-5</v>
      </c>
      <c r="CC73" s="207">
        <f>INDEX($A$61:$H$74,MATCH($L73,$B$61:$B$74,0),MATCH($BQ$60,$A$61:$H$61,0))*고양시_Modal_split!O$3 * 0.01</f>
        <v>1.9810029971149171E-5</v>
      </c>
      <c r="CD73" s="207">
        <f>INDEX($A$61:$H$74,MATCH($L73,$B$61:$B$74,0),MATCH($BQ$60,$A$61:$H$61,0))*고양시_Modal_split!P$3 * 0.01</f>
        <v>1.1005572206193984E-2</v>
      </c>
      <c r="CE73" s="304">
        <f t="shared" si="31"/>
        <v>0.10616790657211198</v>
      </c>
      <c r="CF73" s="304">
        <f t="shared" si="13"/>
        <v>17.832416593165814</v>
      </c>
      <c r="CG73" s="304">
        <f t="shared" si="14"/>
        <v>2.157483529983276</v>
      </c>
      <c r="CH73" s="304">
        <f t="shared" si="15"/>
        <v>3.4769989402366681</v>
      </c>
      <c r="CI73" s="304">
        <f t="shared" si="16"/>
        <v>0.34883740730836799</v>
      </c>
      <c r="CJ73" s="304">
        <f t="shared" si="17"/>
        <v>3.7917109490040006E-3</v>
      </c>
      <c r="CK73" s="304">
        <f t="shared" si="18"/>
        <v>1.0540956438231119</v>
      </c>
      <c r="CL73" s="304">
        <f t="shared" si="19"/>
        <v>11.541968128768177</v>
      </c>
      <c r="CM73" s="304">
        <f t="shared" si="20"/>
        <v>5.6875664235060006E-2</v>
      </c>
      <c r="CN73" s="304">
        <f t="shared" si="21"/>
        <v>1.1450967065992081</v>
      </c>
      <c r="CO73" s="304">
        <f t="shared" si="22"/>
        <v>8.7209351827091997E-2</v>
      </c>
      <c r="CP73" s="304">
        <f t="shared" si="23"/>
        <v>3.7917109490040006E-2</v>
      </c>
      <c r="CQ73" s="304">
        <f t="shared" si="24"/>
        <v>6.8250797082072004E-2</v>
      </c>
      <c r="CR73" s="304">
        <f t="shared" si="25"/>
        <v>37.917109490040005</v>
      </c>
      <c r="CS73" s="305">
        <f t="shared" si="32"/>
        <v>0</v>
      </c>
      <c r="CV73" s="267" t="s">
        <v>171</v>
      </c>
      <c r="CW73" s="267" t="s">
        <v>171</v>
      </c>
      <c r="CX73" s="267">
        <f>INDEX($M$60:$Z$74,MATCH($CW73,$L$60:$L$74,0),MATCH(CX$61,$M$61:$Z$61,0))/INDEX(고양시_재차인원!$D$4:$H$35,MATCH("고양시",고양시_재차인원!$B$4:$B$35,0),MATCH($CX$60,고양시_재차인원!$D$4:$H$4,0))</f>
        <v>1.7449702934049514</v>
      </c>
      <c r="CY73" s="267">
        <f>INDEX($M$60:$Z$74,MATCH($CW73,$L$60:$L$74,0),MATCH(CY$61,$M$61:$Z$61,0))/INDEX(고양시_재차인원!$K$4:$O$20,MATCH("경기도",고양시_재차인원!$K$4:$K$20,0),MATCH($CY$61,고양시_재차인원!$K$4:$O$4,0))</f>
        <v>1.4434090266546629E-5</v>
      </c>
      <c r="CZ73" s="267">
        <f>INDEX($M$60:$Z$74,MATCH($CW73,$L$60:$L$74,0),MATCH(CZ$61,$M$61:$Z$61,0))/INDEX(고양시_재차인원!$K$4:$O$20,MATCH("경기도",고양시_재차인원!$K$4:$K$20,0),MATCH($CZ$61,고양시_재차인원!$K$4:$O$4,0))</f>
        <v>4.0126770940999631E-3</v>
      </c>
      <c r="DA73" s="267">
        <f>INDEX($M$60:$Z$74,MATCH($CW73,$L$60:$L$74,0),MATCH(DA$61,$M$61:$Z$61,0))/INDEX(고양시_재차인원!$D$4:$H$35,MATCH("고양시",고양시_재차인원!$B$4:$B$35,0),MATCH($CX$60,고양시_재차인원!$D$4:$H$4,0))</f>
        <v>0.11205210049081339</v>
      </c>
      <c r="DB73" s="267">
        <f>INDEX($AA$60:$AN$74,MATCH($CW73,$L$60:$L$74,0),MATCH(DB$61,$AA$61:$AN$61,0))/INDEX(고양시_재차인원!$D$4:$H$35,MATCH("고양시",고양시_재차인원!$B$4:$B$35,0),MATCH($DB$60,고양시_재차인원!$D$4:$H$4,0))</f>
        <v>10.778309435833274</v>
      </c>
      <c r="DC73" s="267">
        <f>INDEX($AA$60:$AN$74,MATCH($CW73,$L$60:$L$74,0),MATCH(DC$61,$AA$61:$AN$61,0))/INDEX(고양시_재차인원!$K$4:$O$20,MATCH("경기도",고양시_재차인원!$K$4:$K$20,0),MATCH($DC$61,고양시_재차인원!$K$4:$O$4,0))</f>
        <v>1.1224141075785592E-4</v>
      </c>
      <c r="DD73" s="267">
        <f>INDEX($AA$60:$AN$74,MATCH($CW73,$L$60:$L$74,0),MATCH(DD$61,$AA$61:$AN$61,0))/INDEX(고양시_재차인원!$K$4:$O$20,MATCH("경기도",고양시_재차인원!$K$4:$K$20,0),MATCH($DD$61,고양시_재차인원!$K$4:$O$4,0))</f>
        <v>3.1203112190683942E-2</v>
      </c>
      <c r="DE73" s="267">
        <f>INDEX($AA$60:$AN$74,MATCH($CW73,$L$60:$L$74,0),MATCH(DE$61,$AA$61:$AN$61,0))/INDEX(고양시_재차인원!$D$4:$H$35,MATCH("고양시",고양시_재차인원!$B$4:$B$35,0),MATCH($DB$60,고양시_재차인원!$D$4:$H$4,0))</f>
        <v>0.69212193272839639</v>
      </c>
      <c r="DF73" s="267">
        <f>INDEX($AO$60:$BB$74,MATCH($CW73,$L$60:$L$74,0),MATCH(DF$61,$AO$61:$BB$61,0))/INDEX(고양시_재차인원!$D$4:$H$35,MATCH("고양시",고양시_재차인원!$B$4:$B$35,0),MATCH($DF$60,고양시_재차인원!$D$4:$H$4,0))</f>
        <v>0.51817757223836403</v>
      </c>
      <c r="DG73" s="267">
        <f>INDEX($AO$60:$BB$74,MATCH($CW73,$L$60:$L$74,0),MATCH(DG$61,$AO$61:$BB$61,0))/INDEX(고양시_재차인원!$K$4:$O$20,MATCH("경기도",고양시_재차인원!$K$4:$K$20,0),MATCH($DG$61,고양시_재차인원!$K$4:$O$4,0))</f>
        <v>4.9751401643144521E-6</v>
      </c>
      <c r="DH73" s="267">
        <f>INDEX($AO$60:$BB$74,MATCH($CW73,$L$60:$L$74,0),MATCH(DH$61,$AO$61:$BB$61,0))/INDEX(고양시_재차인원!$K$4:$O$20,MATCH("경기도",고양시_재차인원!$K$4:$K$20,0),MATCH($DH$61,고양시_재차인원!$K$4:$O$4,0))</f>
        <v>1.3830889656794175E-3</v>
      </c>
      <c r="DI73" s="267">
        <f>INDEX($AO$60:$BB$74,MATCH($CW73,$L$60:$L$74,0),MATCH(DI$61,$AO$61:$BB$61,0))/INDEX(고양시_재차인원!$D$4:$H$35,MATCH("고양시",고양시_재차인원!$B$4:$B$35,0),MATCH($DF$60,고양시_재차인원!$D$4:$H$4,0))</f>
        <v>3.3274426284496263E-2</v>
      </c>
      <c r="DJ73" s="267">
        <f>INDEX($BC$60:$BP$74,MATCH($CW73,$L$60:$L$74,0),MATCH(DJ$61,$BC$61:$BP$61,0))/INDEX(고양시_재차인원!$D$4:$H$35,MATCH("고양시",고양시_재차인원!$B$4:$B$35,0),MATCH($DJ$60,고양시_재차인원!$D$4:$H$4,0))</f>
        <v>1.3432319918442188E-3</v>
      </c>
      <c r="DK73" s="267">
        <f>INDEX($BC$60:$BP$74,MATCH($CW73,$L$60:$L$74,0),MATCH(DK$61,$BC$61:$BP$61,0))/INDEX(고양시_재차인원!$K$4:$O$20,MATCH("경기도",고양시_재차인원!$K$4:$K$20,0),MATCH($DK$61,고양시_재차인원!$K$4:$O$4,0))</f>
        <v>1.3491905530344326E-8</v>
      </c>
      <c r="DL73" s="267">
        <f>INDEX($BC$60:$BP$74,MATCH($CW73,$L$60:$L$74,0),MATCH(DL$61,$BC$61:$BP$61,0))/INDEX(고양시_재차인원!$K$4:$O$20,MATCH("경기도",고양시_재차인원!$K$4:$K$20,0),MATCH($DL$61,고양시_재차인원!$K$4:$O$4,0))</f>
        <v>3.7507497374357216E-6</v>
      </c>
      <c r="DM73" s="267">
        <f>INDEX($BC$60:$BP$74,MATCH($CW73,$L$60:$L$74,0),MATCH(DM$61,$BC$61:$BP$61,0))/INDEX(고양시_재차인원!$D$4:$H$35,MATCH("고양시",고양시_재차인원!$B$4:$B$35,0),MATCH($DJ$60,고양시_재차인원!$D$4:$H$4,0))</f>
        <v>8.6254744107368487E-5</v>
      </c>
      <c r="DN73" s="267">
        <f>INDEX($BQ$60:$CD$74,MATCH($CW73,$L$60:$L$74,0),MATCH(DN$61,$BQ$61:$CD$61,0))/INDEX(고양시_재차인원!$D$4:$H$35,MATCH("고양시",고양시_재차인원!$B$4:$B$35,0),MATCH($DN$60,고양시_재차인원!$D$4:$H$4,0))</f>
        <v>4.1078734988674844E-3</v>
      </c>
      <c r="DO73" s="267">
        <f>INDEX($BQ$60:$CD$74,MATCH($CW73,$L$60:$L$74,0),MATCH(DO$61,$BQ$61:$CD$61,0))/INDEX(고양시_재차인원!$K$4:$O$20,MATCH("경기도",고양시_재차인원!$K$4:$K$20,0),MATCH($DO$61,고양시_재차인원!$K$4:$O$4,0))</f>
        <v>3.8227065669308739E-8</v>
      </c>
      <c r="DP73" s="267">
        <f>INDEX($BQ$60:$CD$74,MATCH($CW73,$L$60:$L$74,0),MATCH(DP$61,$BQ$61:$CD$61,0))/INDEX(고양시_재차인원!$K$4:$O$20,MATCH("경기도",고양시_재차인원!$K$4:$K$20,0),MATCH($DP$61,고양시_재차인원!$K$4:$O$4,0))</f>
        <v>1.0627124256067827E-5</v>
      </c>
      <c r="DQ73" s="267">
        <f>INDEX($BQ$60:$CD$74,MATCH($CW73,$L$60:$L$74,0),MATCH(DQ$61,$BQ$61:$CD$61,0))/INDEX(고양시_재차인원!$D$4:$H$35,MATCH("고양시",고양시_재차인원!$B$4:$B$35,0),MATCH($DN$60,고양시_재차인원!$D$4:$H$4,0))</f>
        <v>2.6378434970401453E-4</v>
      </c>
      <c r="DR73" s="270">
        <f t="shared" si="33"/>
        <v>13.046908406967303</v>
      </c>
      <c r="DS73" s="270">
        <f t="shared" si="26"/>
        <v>1.3170236015991665E-4</v>
      </c>
      <c r="DT73" s="270">
        <f t="shared" si="27"/>
        <v>3.6613256124456824E-2</v>
      </c>
      <c r="DU73" s="270">
        <f t="shared" si="28"/>
        <v>0.83779849859751743</v>
      </c>
      <c r="DW73" s="278" t="s">
        <v>171</v>
      </c>
      <c r="DX73" s="278" t="s">
        <v>171</v>
      </c>
      <c r="DY73" s="281">
        <f t="shared" si="41"/>
        <v>13.884706905564821</v>
      </c>
      <c r="DZ73" s="281">
        <f t="shared" si="42"/>
        <v>3.6744958484616737E-2</v>
      </c>
      <c r="EB73" s="278" t="s">
        <v>26</v>
      </c>
      <c r="EC73" s="278" t="s">
        <v>26</v>
      </c>
      <c r="ED73" s="281">
        <f t="shared" si="45"/>
        <v>5973.7176900603263</v>
      </c>
      <c r="EE73" s="281">
        <f t="shared" si="44"/>
        <v>15.809048762283405</v>
      </c>
      <c r="EK73" s="420" t="s">
        <v>47</v>
      </c>
      <c r="EL73" s="420" t="s">
        <v>47</v>
      </c>
      <c r="EM73" s="420" t="s">
        <v>573</v>
      </c>
      <c r="EN73" s="420">
        <v>2252.9902000000002</v>
      </c>
      <c r="EO73" s="420">
        <v>0.23602173772802626</v>
      </c>
      <c r="EP73" s="421">
        <v>849012</v>
      </c>
      <c r="EQ73" s="422">
        <f t="shared" si="37"/>
        <v>59.739925884745517</v>
      </c>
      <c r="ER73" s="422">
        <f t="shared" si="38"/>
        <v>0.15809776262754743</v>
      </c>
      <c r="ES73">
        <v>0</v>
      </c>
      <c r="EU73" s="306" t="s">
        <v>47</v>
      </c>
      <c r="EV73" s="306" t="s">
        <v>47</v>
      </c>
      <c r="EW73" s="306" t="s">
        <v>573</v>
      </c>
      <c r="EX73" s="306">
        <v>2252.9902000000002</v>
      </c>
      <c r="EY73" s="306">
        <v>0.23602173772802626</v>
      </c>
      <c r="EZ73" s="307">
        <v>849012</v>
      </c>
      <c r="FA73" s="308">
        <f t="shared" si="39"/>
        <v>59.739925884745517</v>
      </c>
      <c r="FB73" s="308">
        <f t="shared" si="30"/>
        <v>0.15809776262754743</v>
      </c>
      <c r="FD73" s="101"/>
      <c r="FE73" s="101"/>
      <c r="FF73" s="101"/>
      <c r="FG73" s="101"/>
      <c r="FH73" s="101"/>
      <c r="FI73" s="374"/>
      <c r="FJ73" s="404"/>
      <c r="FK73" s="404"/>
    </row>
    <row r="74" spans="1:167">
      <c r="A74" s="205" t="s">
        <v>26</v>
      </c>
      <c r="B74" s="205" t="s">
        <v>26</v>
      </c>
      <c r="C74" s="201">
        <f>$L41*KTDB_TripDistribution_2025!L$12</f>
        <v>1787.8828552867058</v>
      </c>
      <c r="D74" s="201">
        <f>$L41*KTDB_TripDistribution_2025!M$12</f>
        <v>13902.815504227478</v>
      </c>
      <c r="E74" s="201">
        <f>$L41*KTDB_TripDistribution_2025!N$12</f>
        <v>616.24720631279672</v>
      </c>
      <c r="F74" s="201">
        <f>$L41*KTDB_TripDistribution_2025!O$12</f>
        <v>1.671178864577082</v>
      </c>
      <c r="G74" s="201">
        <f>$L41*KTDB_TripDistribution_2025!P$12</f>
        <v>4.7350067829683748</v>
      </c>
      <c r="H74" s="201">
        <f>$L41*KTDB_TripDistribution_2025!Q$12</f>
        <v>16313.351751474525</v>
      </c>
      <c r="I74" t="b">
        <f>H74=$K$41</f>
        <v>1</v>
      </c>
      <c r="J74" s="230">
        <f>CR74</f>
        <v>16313.351751474527</v>
      </c>
      <c r="K74" s="206" t="s">
        <v>26</v>
      </c>
      <c r="L74" s="206" t="s">
        <v>26</v>
      </c>
      <c r="M74" s="206">
        <f>INDEX($A$61:$H$74,MATCH($L74,$B$61:$B$74,0),MATCH($M$60,$A$61:$H$61,0))*고양시_Modal_split!C$3 * 0.01</f>
        <v>5.0060719948027756</v>
      </c>
      <c r="N74" s="206">
        <f>INDEX($A$61:$H$74,MATCH($L74,$B$61:$B$74,0),MATCH($M$60,$A$61:$H$61,0))*고양시_Modal_split!D$3 * 0.01</f>
        <v>840.84130684133777</v>
      </c>
      <c r="O74" s="206">
        <f>INDEX($A$61:$H$74,MATCH($L74,$B$61:$B$74,0),MATCH($M$60,$A$61:$H$61,0))*고양시_Modal_split!E$3 * 0.01</f>
        <v>101.73053446581355</v>
      </c>
      <c r="P74" s="206">
        <f>INDEX($A$61:$H$74,MATCH($L74,$B$61:$B$74,0),MATCH($M$60,$A$61:$H$61,0))*고양시_Modal_split!F$3 * 0.01</f>
        <v>163.94885782979091</v>
      </c>
      <c r="Q74" s="206">
        <f>INDEX($A$61:$H$74,MATCH($L74,$B$61:$B$74,0),MATCH($M$60,$A$61:$H$61,0))*고양시_Modal_split!G$3 * 0.01</f>
        <v>16.448522268637692</v>
      </c>
      <c r="R74" s="206">
        <f>INDEX($A$61:$H$74,MATCH($L74,$B$61:$B$74,0),MATCH($M$60,$A$61:$H$61,0))*고양시_Modal_split!H$3 * 0.01</f>
        <v>0.1787882855286706</v>
      </c>
      <c r="S74" s="206">
        <f>INDEX($A$61:$H$74,MATCH($L74,$B$61:$B$74,0),MATCH($M$60,$A$61:$H$61,0))*고양시_Modal_split!I$3 * 0.01</f>
        <v>49.703143376970424</v>
      </c>
      <c r="T74" s="206">
        <f>INDEX($A$61:$H$74,MATCH($L74,$B$61:$B$74,0),MATCH($M$60,$A$61:$H$61,0))*고양시_Modal_split!J$3 * 0.01</f>
        <v>544.23154114927331</v>
      </c>
      <c r="U74" s="206">
        <f>INDEX($A$61:$H$74,MATCH($L74,$B$61:$B$74,0),MATCH($M$60,$A$61:$H$61,0))*고양시_Modal_split!K$3 * 0.01</f>
        <v>2.6818242829300583</v>
      </c>
      <c r="V74" s="206">
        <f>INDEX($A$61:$H$74,MATCH($L74,$B$61:$B$74,0),MATCH($M$60,$A$61:$H$61,0))*고양시_Modal_split!L$3 * 0.01</f>
        <v>53.99406222965851</v>
      </c>
      <c r="W74" s="206">
        <f>INDEX($A$61:$H$74,MATCH($L74,$B$61:$B$74,0),MATCH($M$60,$A$61:$H$61,0))*고양시_Modal_split!M$3 * 0.01</f>
        <v>4.112130567159423</v>
      </c>
      <c r="X74" s="206">
        <f>INDEX($A$61:$H$74,MATCH($L74,$B$61:$B$74,0),MATCH($M$60,$A$61:$H$61,0))*고양시_Modal_split!N$3 * 0.01</f>
        <v>1.7878828552867061</v>
      </c>
      <c r="Y74" s="206">
        <f>INDEX($A$61:$H$74,MATCH($L74,$B$61:$B$74,0),MATCH($M$60,$A$61:$H$61,0))*고양시_Modal_split!O$3 * 0.01</f>
        <v>3.2181891395160704</v>
      </c>
      <c r="Z74" s="209">
        <f>INDEX($A$61:$H$74,MATCH($L74,$B$61:$B$74,0),MATCH($M$60,$A$61:$H$61,0))*고양시_Modal_split!P$3 * 0.01</f>
        <v>1787.882855286706</v>
      </c>
      <c r="AA74" s="207">
        <f>INDEX($A$61:$H$74,MATCH($L74,$B$61:$B$74,0),MATCH($AA$60,$A$61:$H$61,0))*고양시_Modal_split!C$3 * 0.01</f>
        <v>38.927883411836937</v>
      </c>
      <c r="AB74" s="207">
        <f>INDEX($A$61:$H$74,MATCH($L74,$B$61:$B$74,0),MATCH($AA$60,$A$61:$H$61,0))*고양시_Modal_split!D$3 * 0.01</f>
        <v>6538.4941316381828</v>
      </c>
      <c r="AC74" s="207">
        <f>INDEX($A$61:$H$74,MATCH($L74,$B$61:$B$74,0),MATCH($AA$60,$A$61:$H$61,0))*고양시_Modal_split!E$3 * 0.01</f>
        <v>791.07020219054334</v>
      </c>
      <c r="AD74" s="207">
        <f>INDEX($A$61:$H$74,MATCH($L74,$B$61:$B$74,0),MATCH($AA$60,$A$61:$H$61,0))*고양시_Modal_split!F$3 * 0.01</f>
        <v>1274.8881817376596</v>
      </c>
      <c r="AE74" s="207">
        <f>INDEX($A$61:$H$74,MATCH($L74,$B$61:$B$74,0),MATCH($AA$60,$A$61:$H$61,0))*고양시_Modal_split!G$3 * 0.01</f>
        <v>127.90590263889278</v>
      </c>
      <c r="AF74" s="207">
        <f>INDEX($A$61:$H$74,MATCH($L74,$B$61:$B$74,0),MATCH($AA$60,$A$61:$H$61,0))*고양시_Modal_split!H$3 * 0.01</f>
        <v>1.3902815504227479</v>
      </c>
      <c r="AG74" s="207">
        <f>INDEX($A$61:$H$74,MATCH($L74,$B$61:$B$74,0),MATCH($AA$60,$A$61:$H$61,0))*고양시_Modal_split!I$3 * 0.01</f>
        <v>386.4982710175239</v>
      </c>
      <c r="AH74" s="207">
        <f>INDEX($A$61:$H$74,MATCH($L74,$B$61:$B$74,0),MATCH($AA$60,$A$61:$H$61,0))*고양시_Modal_split!J$3 * 0.01</f>
        <v>4232.0170394868446</v>
      </c>
      <c r="AI74" s="207">
        <f>INDEX($A$61:$H$74,MATCH($L74,$B$61:$B$74,0),MATCH($AA$60,$A$61:$H$61,0))*고양시_Modal_split!K$3 * 0.01</f>
        <v>20.854223256341214</v>
      </c>
      <c r="AJ74" s="207">
        <f>INDEX($A$61:$H$74,MATCH($L74,$B$61:$B$74,0),MATCH($AA$60,$A$61:$H$61,0))*고양시_Modal_split!L$3 * 0.01</f>
        <v>419.86502822766982</v>
      </c>
      <c r="AK74" s="207">
        <f>INDEX($A$61:$H$74,MATCH($L74,$B$61:$B$74,0),MATCH($AA$60,$A$61:$H$61,0))*고양시_Modal_split!M$3 * 0.01</f>
        <v>31.976475659723196</v>
      </c>
      <c r="AL74" s="207">
        <f>INDEX($A$61:$H$74,MATCH($L74,$B$61:$B$74,0),MATCH($AA$60,$A$61:$H$61,0))*고양시_Modal_split!N$3 * 0.01</f>
        <v>13.902815504227478</v>
      </c>
      <c r="AM74" s="207">
        <f>INDEX($A$61:$H$74,MATCH($L74,$B$61:$B$74,0),MATCH($AA$60,$A$61:$H$61,0))*고양시_Modal_split!O$3 * 0.01</f>
        <v>25.025067907609461</v>
      </c>
      <c r="AN74" s="207">
        <f>INDEX($A$61:$H$74,MATCH($L74,$B$61:$B$74,0),MATCH($AA$60,$A$61:$H$61,0))*고양시_Modal_split!P$3 * 0.01</f>
        <v>13902.815504227479</v>
      </c>
      <c r="AO74" s="303">
        <f>INDEX($A$61:$H$74,MATCH($L74,$B$61:$B$74,0),MATCH($AO$60,$A$61:$H$61,0))*고양시_Modal_split!C$3 * 0.01</f>
        <v>1.7254921776758305</v>
      </c>
      <c r="AP74" s="303">
        <f>INDEX($A$61:$H$74,MATCH($L74,$B$61:$B$74,0),MATCH($AO$60,$A$61:$H$61,0))*고양시_Modal_split!D$3 * 0.01</f>
        <v>289.8210611289083</v>
      </c>
      <c r="AQ74" s="303">
        <f>INDEX($A$61:$H$74,MATCH($L74,$B$61:$B$74,0),MATCH($AO$60,$A$61:$H$61,0))*고양시_Modal_split!E$3 * 0.01</f>
        <v>35.06446603919813</v>
      </c>
      <c r="AR74" s="303">
        <f>INDEX($A$61:$H$74,MATCH($L74,$B$61:$B$74,0),MATCH($AO$60,$A$61:$H$61,0))*고양시_Modal_split!F$3 * 0.01</f>
        <v>56.509868818883461</v>
      </c>
      <c r="AS74" s="303">
        <f>INDEX($A$61:$H$74,MATCH($L74,$B$61:$B$74,0),MATCH($AO$60,$A$61:$H$61,0))*고양시_Modal_split!G$3 * 0.01</f>
        <v>5.6694742980777288</v>
      </c>
      <c r="AT74" s="303">
        <f>INDEX($A$61:$H$74,MATCH($L74,$B$61:$B$74,0),MATCH($AO$60,$A$61:$H$61,0))*고양시_Modal_split!H$3 * 0.01</f>
        <v>6.1624720631279668E-2</v>
      </c>
      <c r="AU74" s="303">
        <f>INDEX($A$61:$H$74,MATCH($L74,$B$61:$B$74,0),MATCH($AO$60,$A$61:$H$61,0))*고양시_Modal_split!I$3 * 0.01</f>
        <v>17.131672335495747</v>
      </c>
      <c r="AV74" s="303">
        <f>INDEX($A$61:$H$74,MATCH($L74,$B$61:$B$74,0),MATCH($AO$60,$A$61:$H$61,0))*고양시_Modal_split!J$3 * 0.01</f>
        <v>187.58564960161533</v>
      </c>
      <c r="AW74" s="303">
        <f>INDEX($A$61:$H$74,MATCH($L74,$B$61:$B$74,0),MATCH($AO$60,$A$61:$H$61,0))*고양시_Modal_split!K$3 * 0.01</f>
        <v>0.92437080946919514</v>
      </c>
      <c r="AX74" s="303">
        <f>INDEX($A$61:$H$74,MATCH($L74,$B$61:$B$74,0),MATCH($AO$60,$A$61:$H$61,0))*고양시_Modal_split!L$3 * 0.01</f>
        <v>18.610665630646462</v>
      </c>
      <c r="AY74" s="303">
        <f>INDEX($A$61:$H$74,MATCH($L74,$B$61:$B$74,0),MATCH($AO$60,$A$61:$H$61,0))*고양시_Modal_split!M$3 * 0.01</f>
        <v>1.4173685745194322</v>
      </c>
      <c r="AZ74" s="303">
        <f>INDEX($A$61:$H$74,MATCH($L74,$B$61:$B$74,0),MATCH($AO$60,$A$61:$H$61,0))*고양시_Modal_split!N$3 * 0.01</f>
        <v>0.61624720631279672</v>
      </c>
      <c r="BA74" s="207">
        <f>INDEX($A$61:$H$74,MATCH($L74,$B$61:$B$74,0),MATCH($AO$60,$A$61:$H$61,0))*고양시_Modal_split!O$3 * 0.01</f>
        <v>1.1092449713630341</v>
      </c>
      <c r="BB74" s="207">
        <f>INDEX($A$61:$H$74,MATCH($L74,$B$61:$B$74,0),MATCH($AO$60,$A$61:$H$61,0))*고양시_Modal_split!P$3 * 0.01</f>
        <v>616.24720631279672</v>
      </c>
      <c r="BC74" s="207">
        <f>INDEX($A$61:$H$74,MATCH($L74,$B$61:$B$74,0),MATCH($BC$60,$A$61:$H$61,0))*고양시_Modal_split!C$3 * 0.01</f>
        <v>4.6793008208158293E-3</v>
      </c>
      <c r="BD74" s="207">
        <f>INDEX($A$61:$H$74,MATCH($L74,$B$61:$B$74,0),MATCH($BC$60,$A$61:$H$61,0))*고양시_Modal_split!D$3 * 0.01</f>
        <v>0.7859554200106017</v>
      </c>
      <c r="BE74" s="207">
        <f>INDEX($A$61:$H$74,MATCH($L74,$B$61:$B$74,0),MATCH($BC$60,$A$61:$H$61,0))*고양시_Modal_split!E$3 * 0.01</f>
        <v>9.5090077394435951E-2</v>
      </c>
      <c r="BF74" s="207">
        <f>INDEX($A$61:$H$74,MATCH($L74,$B$61:$B$74,0),MATCH($BC$60,$A$61:$H$61,0))*고양시_Modal_split!F$3 * 0.01</f>
        <v>0.15324710188171842</v>
      </c>
      <c r="BG74" s="207">
        <f>INDEX($A$61:$H$74,MATCH($L74,$B$61:$B$74,0),MATCH($BC$60,$A$61:$H$61,0))*고양시_Modal_split!G$3 * 0.01</f>
        <v>1.5374845554109154E-2</v>
      </c>
      <c r="BH74" s="207">
        <f>INDEX($A$61:$H$74,MATCH($L74,$B$61:$B$74,0),MATCH($BC$60,$A$61:$H$61,0))*고양시_Modal_split!H$3 * 0.01</f>
        <v>1.671178864577082E-4</v>
      </c>
      <c r="BI74" s="207">
        <f>INDEX($A$61:$H$74,MATCH($L74,$B$61:$B$74,0),MATCH($BC$60,$A$61:$H$61,0))*고양시_Modal_split!I$3 * 0.01</f>
        <v>4.6458772435242872E-2</v>
      </c>
      <c r="BJ74" s="207">
        <f>INDEX($A$61:$H$74,MATCH($L74,$B$61:$B$74,0),MATCH($BC$60,$A$61:$H$61,0))*고양시_Modal_split!J$3 * 0.01</f>
        <v>0.50870684637726382</v>
      </c>
      <c r="BK74" s="207">
        <f>INDEX($A$61:$H$74,MATCH($L74,$B$61:$B$74,0),MATCH($BC$60,$A$61:$H$61,0))*고양시_Modal_split!K$3 * 0.01</f>
        <v>2.5067682968656232E-3</v>
      </c>
      <c r="BL74" s="207">
        <f>INDEX($A$61:$H$74,MATCH($L74,$B$61:$B$74,0),MATCH($BC$60,$A$61:$H$61,0))*고양시_Modal_split!L$3 * 0.01</f>
        <v>5.0469601710227872E-2</v>
      </c>
      <c r="BM74" s="207">
        <f>INDEX($A$61:$H$74,MATCH($L74,$B$61:$B$74,0),MATCH($BC$60,$A$61:$H$61,0))*고양시_Modal_split!M$3 * 0.01</f>
        <v>3.8437113885272886E-3</v>
      </c>
      <c r="BN74" s="207">
        <f>INDEX($A$61:$H$74,MATCH($L74,$B$61:$B$74,0),MATCH($BC$60,$A$61:$H$61,0))*고양시_Modal_split!N$3 * 0.01</f>
        <v>1.671178864577082E-3</v>
      </c>
      <c r="BO74" s="207">
        <f>INDEX($A$61:$H$74,MATCH($L74,$B$61:$B$74,0),MATCH($BC$60,$A$61:$H$61,0))*고양시_Modal_split!O$3 * 0.01</f>
        <v>3.0081219562387474E-3</v>
      </c>
      <c r="BP74" s="207">
        <f>INDEX($A$61:$H$74,MATCH($L74,$B$61:$B$74,0),MATCH($BC$60,$A$61:$H$61,0))*고양시_Modal_split!P$3 * 0.01</f>
        <v>1.6711788645770822</v>
      </c>
      <c r="BQ74" s="207">
        <f>INDEX($A$61:$H$74,MATCH($L74,$B$61:$B$74,0),MATCH($BQ$60,$A$61:$H$61,0))*고양시_Modal_split!C$3 * 0.01</f>
        <v>1.325801899231145E-2</v>
      </c>
      <c r="BR74" s="207">
        <f>INDEX($A$61:$H$74,MATCH($L74,$B$61:$B$74,0),MATCH($BQ$60,$A$61:$H$61,0))*고양시_Modal_split!D$3 * 0.01</f>
        <v>2.2268736900300268</v>
      </c>
      <c r="BS74" s="207">
        <f>INDEX($A$61:$H$74,MATCH($L74,$B$61:$B$74,0),MATCH($BQ$60,$A$61:$H$61,0))*고양시_Modal_split!E$3 * 0.01</f>
        <v>0.2694218859509005</v>
      </c>
      <c r="BT74" s="207">
        <f>INDEX($A$61:$H$74,MATCH($L74,$B$61:$B$74,0),MATCH($BQ$60,$A$61:$H$61,0))*고양시_Modal_split!F$3 * 0.01</f>
        <v>0.43420012199820002</v>
      </c>
      <c r="BU74" s="207">
        <f>INDEX($A$61:$H$74,MATCH($L74,$B$61:$B$74,0),MATCH($BQ$60,$A$61:$H$61,0))*고양시_Modal_split!G$3 * 0.01</f>
        <v>4.3562062403309051E-2</v>
      </c>
      <c r="BV74" s="207">
        <f>INDEX($A$61:$H$74,MATCH($L74,$B$61:$B$74,0),MATCH($BQ$60,$A$61:$H$61,0))*고양시_Modal_split!H$3 * 0.01</f>
        <v>4.735006782968375E-4</v>
      </c>
      <c r="BW74" s="207">
        <f>INDEX($A$61:$H$74,MATCH($L74,$B$61:$B$74,0),MATCH($BQ$60,$A$61:$H$61,0))*고양시_Modal_split!I$3 * 0.01</f>
        <v>0.13163318856652081</v>
      </c>
      <c r="BX74" s="207">
        <f>INDEX($A$61:$H$74,MATCH($L74,$B$61:$B$74,0),MATCH($BQ$60,$A$61:$H$61,0))*고양시_Modal_split!J$3 * 0.01</f>
        <v>1.4413360647355733</v>
      </c>
      <c r="BY74" s="207">
        <f>INDEX($A$61:$H$74,MATCH($L74,$B$61:$B$74,0),MATCH($BQ$60,$A$61:$H$61,0))*고양시_Modal_split!K$3 * 0.01</f>
        <v>7.102510174452562E-3</v>
      </c>
      <c r="BZ74" s="207">
        <f>INDEX($A$61:$H$74,MATCH($L74,$B$61:$B$74,0),MATCH($BQ$60,$A$61:$H$61,0))*고양시_Modal_split!L$3 * 0.01</f>
        <v>0.14299720484564493</v>
      </c>
      <c r="CA74" s="207">
        <f>INDEX($A$61:$H$74,MATCH($L74,$B$61:$B$74,0),MATCH($BQ$60,$A$61:$H$61,0))*고양시_Modal_split!M$3 * 0.01</f>
        <v>1.0890515600827263E-2</v>
      </c>
      <c r="CB74" s="207">
        <f>INDEX($A$61:$H$74,MATCH($L74,$B$61:$B$74,0),MATCH($BQ$60,$A$61:$H$61,0))*고양시_Modal_split!N$3 * 0.01</f>
        <v>4.735006782968375E-3</v>
      </c>
      <c r="CC74" s="207">
        <f>INDEX($A$61:$H$74,MATCH($L74,$B$61:$B$74,0),MATCH($BQ$60,$A$61:$H$61,0))*고양시_Modal_split!O$3 * 0.01</f>
        <v>8.5230122093430758E-3</v>
      </c>
      <c r="CD74" s="207">
        <f>INDEX($A$61:$H$74,MATCH($L74,$B$61:$B$74,0),MATCH($BQ$60,$A$61:$H$61,0))*고양시_Modal_split!P$3 * 0.01</f>
        <v>4.7350067829683748</v>
      </c>
      <c r="CE74" s="304">
        <f t="shared" si="31"/>
        <v>45.677384904128672</v>
      </c>
      <c r="CF74" s="304">
        <f t="shared" si="13"/>
        <v>7672.1693287184689</v>
      </c>
      <c r="CG74" s="304">
        <f t="shared" si="14"/>
        <v>928.22971465890032</v>
      </c>
      <c r="CH74" s="304">
        <f t="shared" si="15"/>
        <v>1495.934355610214</v>
      </c>
      <c r="CI74" s="304">
        <f t="shared" si="16"/>
        <v>150.08283611356561</v>
      </c>
      <c r="CJ74" s="304">
        <f t="shared" si="17"/>
        <v>1.6313351751474527</v>
      </c>
      <c r="CK74" s="304">
        <f t="shared" si="18"/>
        <v>453.51117869099187</v>
      </c>
      <c r="CL74" s="304">
        <f t="shared" si="19"/>
        <v>4965.7842731488463</v>
      </c>
      <c r="CM74" s="304">
        <f t="shared" si="20"/>
        <v>24.470027627211785</v>
      </c>
      <c r="CN74" s="304">
        <f t="shared" si="21"/>
        <v>492.66322289453063</v>
      </c>
      <c r="CO74" s="304">
        <f t="shared" si="22"/>
        <v>37.520709028391401</v>
      </c>
      <c r="CP74" s="304">
        <f t="shared" si="23"/>
        <v>16.313351751474524</v>
      </c>
      <c r="CQ74" s="304">
        <f t="shared" si="24"/>
        <v>29.364033152654144</v>
      </c>
      <c r="CR74" s="304">
        <f t="shared" si="25"/>
        <v>16313.351751474527</v>
      </c>
      <c r="CS74" s="305">
        <f t="shared" si="32"/>
        <v>0</v>
      </c>
      <c r="CV74" s="267" t="s">
        <v>26</v>
      </c>
      <c r="CW74" s="267" t="s">
        <v>26</v>
      </c>
      <c r="CX74" s="267">
        <f>INDEX($M$60:$Z$74,MATCH($CW74,$L$60:$L$74,0),MATCH(CX$61,$M$61:$Z$61,0))/INDEX(고양시_재차인원!$D$4:$H$35,MATCH("고양시",고양시_재차인원!$B$4:$B$35,0),MATCH($CX$60,고양시_재차인원!$D$4:$H$4,0))</f>
        <v>750.75116682262296</v>
      </c>
      <c r="CY74" s="267">
        <f>INDEX($M$60:$Z$74,MATCH($CW74,$L$60:$L$74,0),MATCH(CY$61,$M$61:$Z$61,0))/INDEX(고양시_재차인원!$K$4:$O$20,MATCH("경기도",고양시_재차인원!$K$4:$K$20,0),MATCH($CY$61,고양시_재차인원!$K$4:$O$4,0))</f>
        <v>6.210082859627322E-3</v>
      </c>
      <c r="CZ74" s="267">
        <f>INDEX($M$60:$Z$74,MATCH($CW74,$L$60:$L$74,0),MATCH(CZ$61,$M$61:$Z$61,0))/INDEX(고양시_재차인원!$K$4:$O$20,MATCH("경기도",고양시_재차인원!$K$4:$K$20,0),MATCH($CZ$61,고양시_재차인원!$K$4:$O$4,0))</f>
        <v>1.7264030349763955</v>
      </c>
      <c r="DA74" s="267">
        <f>INDEX($M$60:$Z$74,MATCH($CW74,$L$60:$L$74,0),MATCH(DA$61,$M$61:$Z$61,0))/INDEX(고양시_재차인원!$D$4:$H$35,MATCH("고양시",고양시_재차인원!$B$4:$B$35,0),MATCH($CX$60,고양시_재차인원!$D$4:$H$4,0))</f>
        <v>48.208984133623666</v>
      </c>
      <c r="DB74" s="267">
        <f>INDEX($AA$60:$AN$74,MATCH($CW74,$L$60:$L$74,0),MATCH(DB$61,$AA$61:$AN$61,0))/INDEX(고양시_재차인원!$D$4:$H$35,MATCH("고양시",고양시_재차인원!$B$4:$B$35,0),MATCH($DB$60,고양시_재차인원!$D$4:$H$4,0))</f>
        <v>4637.2298805944565</v>
      </c>
      <c r="DC74" s="267">
        <f>INDEX($AA$60:$AN$74,MATCH($CW74,$L$60:$L$74,0),MATCH(DC$61,$AA$61:$AN$61,0))/INDEX(고양시_재차인원!$K$4:$O$20,MATCH("경기도",고양시_재차인원!$K$4:$K$20,0),MATCH($DC$61,고양시_재차인원!$K$4:$O$4,0))</f>
        <v>4.8290432456503926E-2</v>
      </c>
      <c r="DD74" s="267">
        <f>INDEX($AA$60:$AN$74,MATCH($CW74,$L$60:$L$74,0),MATCH(DD$61,$AA$61:$AN$61,0))/INDEX(고양시_재차인원!$K$4:$O$20,MATCH("경기도",고양시_재차인원!$K$4:$K$20,0),MATCH($DD$61,고양시_재차인원!$K$4:$O$4,0))</f>
        <v>13.42474022290809</v>
      </c>
      <c r="DE74" s="267">
        <f>INDEX($AA$60:$AN$74,MATCH($CW74,$L$60:$L$74,0),MATCH(DE$61,$AA$61:$AN$61,0))/INDEX(고양시_재차인원!$D$4:$H$35,MATCH("고양시",고양시_재차인원!$B$4:$B$35,0),MATCH($DB$60,고양시_재차인원!$D$4:$H$4,0))</f>
        <v>297.77661576430484</v>
      </c>
      <c r="DF74" s="267">
        <f>INDEX($AO$60:$BB$74,MATCH($CW74,$L$60:$L$74,0),MATCH(DF$61,$AO$61:$BB$61,0))/INDEX(고양시_재차인원!$D$4:$H$35,MATCH("고양시",고양시_재차인원!$B$4:$B$35,0),MATCH($DF$60,고양시_재차인원!$D$4:$H$4,0))</f>
        <v>222.9392777914679</v>
      </c>
      <c r="DG74" s="267">
        <f>INDEX($AO$60:$BB$74,MATCH($CW74,$L$60:$L$74,0),MATCH(DG$61,$AO$61:$BB$61,0))/INDEX(고양시_재차인원!$K$4:$O$20,MATCH("경기도",고양시_재차인원!$K$4:$K$20,0),MATCH($DG$61,고양시_재차인원!$K$4:$O$4,0))</f>
        <v>2.1404904699992939E-3</v>
      </c>
      <c r="DH74" s="267">
        <f>INDEX($AO$60:$BB$74,MATCH($CW74,$L$60:$L$74,0),MATCH(DH$61,$AO$61:$BB$61,0))/INDEX(고양시_재차인원!$K$4:$O$20,MATCH("경기도",고양시_재차인원!$K$4:$K$20,0),MATCH($DH$61,고양시_재차인원!$K$4:$O$4,0))</f>
        <v>0.59505635065980367</v>
      </c>
      <c r="DI74" s="267">
        <f>INDEX($AO$60:$BB$74,MATCH($CW74,$L$60:$L$74,0),MATCH(DI$61,$AO$61:$BB$61,0))/INDEX(고양시_재차인원!$D$4:$H$35,MATCH("고양시",고양시_재차인원!$B$4:$B$35,0),MATCH($DF$60,고양시_재차인원!$D$4:$H$4,0))</f>
        <v>14.315896638958817</v>
      </c>
      <c r="DJ74" s="267">
        <f>INDEX($BC$60:$BP$74,MATCH($CW74,$L$60:$L$74,0),MATCH(DJ$61,$BC$61:$BP$61,0))/INDEX(고양시_재차인원!$D$4:$H$35,MATCH("고양시",고양시_재차인원!$B$4:$B$35,0),MATCH($DJ$60,고양시_재차인원!$D$4:$H$4,0))</f>
        <v>0.5779083970666189</v>
      </c>
      <c r="DK74" s="267">
        <f>INDEX($BC$60:$BP$74,MATCH($CW74,$L$60:$L$74,0),MATCH(DK$61,$BC$61:$BP$61,0))/INDEX(고양시_재차인원!$K$4:$O$20,MATCH("경기도",고양시_재차인원!$K$4:$K$20,0),MATCH($DK$61,고양시_재차인원!$K$4:$O$4,0))</f>
        <v>5.8047199186421748E-6</v>
      </c>
      <c r="DL74" s="267">
        <f>INDEX($BC$60:$BP$74,MATCH($CW74,$L$60:$L$74,0),MATCH(DL$61,$BC$61:$BP$61,0))/INDEX(고양시_재차인원!$K$4:$O$20,MATCH("경기도",고양시_재차인원!$K$4:$K$20,0),MATCH($DL$61,고양시_재차인원!$K$4:$O$4,0))</f>
        <v>1.6137121373825242E-3</v>
      </c>
      <c r="DM74" s="267">
        <f>INDEX($BC$60:$BP$74,MATCH($CW74,$L$60:$L$74,0),MATCH(DM$61,$BC$61:$BP$61,0))/INDEX(고양시_재차인원!$D$4:$H$35,MATCH("고양시",고양시_재차인원!$B$4:$B$35,0),MATCH($DJ$60,고양시_재차인원!$D$4:$H$4,0))</f>
        <v>3.7110001257520495E-2</v>
      </c>
      <c r="DN74" s="267">
        <f>INDEX($BQ$60:$CD$74,MATCH($CW74,$L$60:$L$74,0),MATCH(DN$61,$BQ$61:$CD$61,0))/INDEX(고양시_재차인원!$D$4:$H$35,MATCH("고양시",고양시_재차인원!$B$4:$B$35,0),MATCH($DN$60,고양시_재차인원!$D$4:$H$4,0))</f>
        <v>1.7673600714524023</v>
      </c>
      <c r="DO74" s="267">
        <f>INDEX($BQ$60:$CD$74,MATCH($CW74,$L$60:$L$74,0),MATCH(DO$61,$BQ$61:$CD$61,0))/INDEX(고양시_재차인원!$K$4:$O$20,MATCH("경기도",고양시_재차인원!$K$4:$K$20,0),MATCH($DO$61,고양시_재차인원!$K$4:$O$4,0))</f>
        <v>1.6446706436152744E-5</v>
      </c>
      <c r="DP74" s="267">
        <f>INDEX($BQ$60:$CD$74,MATCH($CW74,$L$60:$L$74,0),MATCH(DP$61,$BQ$61:$CD$61,0))/INDEX(고양시_재차인원!$K$4:$O$20,MATCH("경기도",고양시_재차인원!$K$4:$K$20,0),MATCH($DP$61,고양시_재차인원!$K$4:$O$4,0))</f>
        <v>4.5721843892504626E-3</v>
      </c>
      <c r="DQ74" s="267">
        <f>INDEX($BQ$60:$CD$74,MATCH($CW74,$L$60:$L$74,0),MATCH(DQ$61,$BQ$61:$CD$61,0))/INDEX(고양시_재차인원!$D$4:$H$35,MATCH("고양시",고양시_재차인원!$B$4:$B$35,0),MATCH($DN$60,고양시_재차인원!$D$4:$H$4,0))</f>
        <v>0.11348984511559121</v>
      </c>
      <c r="DR74" s="270">
        <f t="shared" si="33"/>
        <v>5613.2655936770661</v>
      </c>
      <c r="DS74" s="270">
        <f t="shared" si="26"/>
        <v>5.6663257212485336E-2</v>
      </c>
      <c r="DT74" s="270">
        <f t="shared" si="27"/>
        <v>15.752385505070921</v>
      </c>
      <c r="DU74" s="270">
        <f t="shared" si="28"/>
        <v>360.45209638326043</v>
      </c>
      <c r="DW74" s="278" t="s">
        <v>26</v>
      </c>
      <c r="DX74" s="278" t="s">
        <v>26</v>
      </c>
      <c r="DY74" s="281">
        <f t="shared" ref="DY74" si="46">DR74+DU74</f>
        <v>5973.7176900603263</v>
      </c>
      <c r="DZ74" s="281">
        <f t="shared" ref="DZ74" si="47">DS74+DT74</f>
        <v>15.809048762283405</v>
      </c>
      <c r="ED74" s="334">
        <f>SUM(ED62:ED72)-ED73</f>
        <v>0</v>
      </c>
      <c r="EE74" s="230" t="b">
        <f>SUM(EE62:EE72)=EE73</f>
        <v>1</v>
      </c>
      <c r="EK74" s="420" t="s">
        <v>169</v>
      </c>
      <c r="EL74" s="420" t="s">
        <v>169</v>
      </c>
      <c r="EM74" s="420" t="s">
        <v>576</v>
      </c>
      <c r="EN74" s="420">
        <v>5756.5210999999999</v>
      </c>
      <c r="EO74" s="420">
        <v>0.34334776653141269</v>
      </c>
      <c r="EP74" s="421">
        <v>849013</v>
      </c>
      <c r="EQ74" s="422">
        <f t="shared" si="37"/>
        <v>139.42900704955039</v>
      </c>
      <c r="ER74" s="422">
        <f t="shared" si="38"/>
        <v>0.36898964525738065</v>
      </c>
      <c r="ES74">
        <v>0</v>
      </c>
      <c r="EU74" s="306" t="s">
        <v>169</v>
      </c>
      <c r="EV74" s="306" t="s">
        <v>169</v>
      </c>
      <c r="EW74" s="306" t="s">
        <v>576</v>
      </c>
      <c r="EX74" s="306">
        <v>5756.5210999999999</v>
      </c>
      <c r="EY74" s="306">
        <v>0.34334776653141269</v>
      </c>
      <c r="EZ74" s="307">
        <v>849013</v>
      </c>
      <c r="FA74" s="308">
        <f t="shared" si="39"/>
        <v>139.42900704955039</v>
      </c>
      <c r="FB74" s="308">
        <f t="shared" si="30"/>
        <v>0.36898964525738065</v>
      </c>
      <c r="FD74" s="101"/>
      <c r="FE74" s="101"/>
      <c r="FF74" s="101"/>
      <c r="FG74" s="101"/>
      <c r="FH74" s="101"/>
      <c r="FI74" s="374"/>
      <c r="FJ74" s="404"/>
      <c r="FK74" s="404"/>
    </row>
    <row r="75" spans="1:167">
      <c r="C75" s="56">
        <f t="shared" ref="C75:F75" si="48">SUM(C62:C73)-C74</f>
        <v>0</v>
      </c>
      <c r="D75" s="56">
        <f t="shared" si="48"/>
        <v>0</v>
      </c>
      <c r="E75" s="56">
        <f t="shared" si="48"/>
        <v>0</v>
      </c>
      <c r="F75" s="56">
        <f t="shared" si="48"/>
        <v>0</v>
      </c>
      <c r="G75" s="56">
        <f>SUM(G62:G73)-G74</f>
        <v>0</v>
      </c>
      <c r="H75" s="56">
        <f t="shared" ref="H75" si="49">SUM(H62:H73)-H74</f>
        <v>0</v>
      </c>
      <c r="I75" s="56"/>
      <c r="J75" s="56"/>
      <c r="K75" s="56"/>
      <c r="L75" s="56"/>
      <c r="M75" s="56"/>
      <c r="P75" s="56"/>
      <c r="Q75" s="56"/>
      <c r="R75" s="56"/>
      <c r="S75" s="56"/>
      <c r="T75" s="301"/>
      <c r="U75" s="301"/>
      <c r="V75" s="302"/>
      <c r="W75" s="56"/>
      <c r="X75" s="56"/>
      <c r="EK75" s="420" t="s">
        <v>169</v>
      </c>
      <c r="EL75" s="420" t="s">
        <v>169</v>
      </c>
      <c r="EM75" s="420" t="s">
        <v>577</v>
      </c>
      <c r="EN75" s="420">
        <v>5584.9350000000004</v>
      </c>
      <c r="EO75" s="420">
        <v>0.33311351164388425</v>
      </c>
      <c r="EP75" s="421">
        <v>849014</v>
      </c>
      <c r="EQ75" s="422">
        <f t="shared" si="37"/>
        <v>135.27301089650845</v>
      </c>
      <c r="ER75" s="422">
        <f t="shared" si="38"/>
        <v>0.35799107631787003</v>
      </c>
      <c r="ES75">
        <v>0</v>
      </c>
      <c r="EU75" s="306" t="s">
        <v>169</v>
      </c>
      <c r="EV75" s="306" t="s">
        <v>169</v>
      </c>
      <c r="EW75" s="306" t="s">
        <v>577</v>
      </c>
      <c r="EX75" s="306">
        <v>5584.9350000000004</v>
      </c>
      <c r="EY75" s="306">
        <v>0.33311351164388425</v>
      </c>
      <c r="EZ75" s="307">
        <v>849014</v>
      </c>
      <c r="FA75" s="308">
        <f t="shared" si="39"/>
        <v>135.27301089650845</v>
      </c>
      <c r="FB75" s="308">
        <f t="shared" si="30"/>
        <v>0.35799107631787003</v>
      </c>
      <c r="FD75" s="101"/>
      <c r="FE75" s="101"/>
      <c r="FF75" s="101"/>
      <c r="FG75" s="101"/>
      <c r="FH75" s="101"/>
      <c r="FI75" s="374"/>
      <c r="FJ75" s="404"/>
      <c r="FK75" s="404"/>
    </row>
    <row r="76" spans="1:167">
      <c r="C76" s="56"/>
      <c r="D76" s="56"/>
      <c r="E76" s="56"/>
      <c r="F76" s="56"/>
      <c r="G76" s="56"/>
      <c r="H76" s="56"/>
      <c r="I76" s="56"/>
      <c r="J76" s="56"/>
      <c r="K76" s="56"/>
      <c r="L76" s="56"/>
      <c r="M76" s="56"/>
      <c r="P76" s="56"/>
      <c r="Q76" s="56"/>
      <c r="R76" s="56"/>
      <c r="S76" s="56"/>
      <c r="T76" s="301"/>
      <c r="U76" s="301"/>
      <c r="V76" s="302"/>
      <c r="W76" s="56"/>
      <c r="X76" s="56"/>
      <c r="EK76" s="420" t="s">
        <v>169</v>
      </c>
      <c r="EL76" s="420" t="s">
        <v>169</v>
      </c>
      <c r="EM76" s="420" t="s">
        <v>382</v>
      </c>
      <c r="EN76" s="420">
        <v>5424.4053999999996</v>
      </c>
      <c r="EO76" s="420">
        <v>0.32353872182470311</v>
      </c>
      <c r="EP76" s="421">
        <v>849015</v>
      </c>
      <c r="EQ76" s="422">
        <f t="shared" si="37"/>
        <v>131.3848148243944</v>
      </c>
      <c r="ER76" s="422">
        <f t="shared" si="38"/>
        <v>0.34770122258011349</v>
      </c>
      <c r="ES76">
        <v>0</v>
      </c>
      <c r="EU76" s="306" t="s">
        <v>169</v>
      </c>
      <c r="EV76" s="306" t="s">
        <v>169</v>
      </c>
      <c r="EW76" s="306" t="s">
        <v>382</v>
      </c>
      <c r="EX76" s="306">
        <v>5424.4053999999996</v>
      </c>
      <c r="EY76" s="306">
        <v>0.32353872182470311</v>
      </c>
      <c r="EZ76" s="307">
        <v>849015</v>
      </c>
      <c r="FA76" s="308">
        <f t="shared" si="39"/>
        <v>131.3848148243944</v>
      </c>
      <c r="FB76" s="308">
        <f t="shared" si="30"/>
        <v>0.34770122258011349</v>
      </c>
      <c r="FD76" s="101"/>
      <c r="FE76" s="101"/>
      <c r="FF76" s="101"/>
      <c r="FG76" s="101"/>
      <c r="FH76" s="101"/>
      <c r="FI76" s="374"/>
      <c r="FJ76" s="404"/>
      <c r="FK76" s="404"/>
    </row>
    <row r="77" spans="1:167">
      <c r="C77" s="56"/>
      <c r="D77" s="56"/>
      <c r="E77" s="56"/>
      <c r="F77" s="56"/>
      <c r="G77" s="56"/>
      <c r="H77" s="56"/>
      <c r="I77" s="56"/>
      <c r="J77" s="56"/>
      <c r="K77" s="56"/>
      <c r="L77" s="56"/>
      <c r="M77" s="56"/>
      <c r="P77" s="56"/>
      <c r="Q77" s="56"/>
      <c r="R77" s="56"/>
      <c r="S77" s="56"/>
      <c r="T77" s="301"/>
      <c r="U77" s="301"/>
      <c r="V77" s="302"/>
      <c r="W77" s="56"/>
      <c r="X77" s="56"/>
      <c r="EK77" s="420" t="s">
        <v>170</v>
      </c>
      <c r="EL77" s="420" t="s">
        <v>170</v>
      </c>
      <c r="EM77" s="420" t="s">
        <v>578</v>
      </c>
      <c r="EN77" s="420">
        <v>28051.338899999999</v>
      </c>
      <c r="EO77" s="420">
        <v>1</v>
      </c>
      <c r="EP77" s="421">
        <v>849016</v>
      </c>
      <c r="EQ77" s="422">
        <f t="shared" si="37"/>
        <v>335.85739328047697</v>
      </c>
      <c r="ER77" s="422">
        <f t="shared" si="38"/>
        <v>0.88882437755287313</v>
      </c>
      <c r="ES77">
        <v>0</v>
      </c>
      <c r="EU77" s="306" t="s">
        <v>170</v>
      </c>
      <c r="EV77" s="306" t="s">
        <v>170</v>
      </c>
      <c r="EW77" s="306" t="s">
        <v>578</v>
      </c>
      <c r="EX77" s="306">
        <v>28051.338899999999</v>
      </c>
      <c r="EY77" s="306">
        <v>1</v>
      </c>
      <c r="EZ77" s="307">
        <v>849016</v>
      </c>
      <c r="FA77" s="308">
        <f t="shared" si="39"/>
        <v>335.85739328047697</v>
      </c>
      <c r="FB77" s="308">
        <f t="shared" si="30"/>
        <v>0.88882437755287313</v>
      </c>
      <c r="FD77" s="101"/>
      <c r="FE77" s="101"/>
      <c r="FF77" s="101"/>
      <c r="FG77" s="101"/>
      <c r="FH77" s="101"/>
      <c r="FI77" s="374"/>
      <c r="FJ77" s="404"/>
      <c r="FK77" s="404"/>
    </row>
    <row r="78" spans="1:167">
      <c r="C78" s="56"/>
      <c r="D78" s="56"/>
      <c r="E78" s="56"/>
      <c r="F78" s="56"/>
      <c r="G78" s="56"/>
      <c r="H78" s="56"/>
      <c r="I78" s="56"/>
      <c r="J78" s="56"/>
      <c r="K78" s="56"/>
      <c r="L78" s="56"/>
      <c r="M78" s="56"/>
      <c r="P78" s="56"/>
      <c r="Q78" s="56"/>
      <c r="R78" s="56"/>
      <c r="S78" s="56"/>
      <c r="T78" s="301"/>
      <c r="U78" s="301"/>
      <c r="V78" s="302"/>
      <c r="W78" s="56"/>
      <c r="X78" s="56"/>
      <c r="EK78" s="420" t="s">
        <v>171</v>
      </c>
      <c r="EL78" s="420" t="s">
        <v>171</v>
      </c>
      <c r="EM78" s="420" t="s">
        <v>580</v>
      </c>
      <c r="EN78" s="420">
        <v>15650.840399999999</v>
      </c>
      <c r="EO78" s="420">
        <v>0.80490868986400721</v>
      </c>
      <c r="EP78" s="421">
        <v>849017</v>
      </c>
      <c r="EQ78" s="422">
        <f t="shared" si="37"/>
        <v>10.857407489035552</v>
      </c>
      <c r="ER78" s="422">
        <f t="shared" si="38"/>
        <v>2.873341080576083E-2</v>
      </c>
      <c r="ES78">
        <v>0</v>
      </c>
      <c r="EU78" s="306" t="s">
        <v>171</v>
      </c>
      <c r="EV78" s="306" t="s">
        <v>171</v>
      </c>
      <c r="EW78" s="306" t="s">
        <v>580</v>
      </c>
      <c r="EX78" s="306">
        <v>15650.840399999999</v>
      </c>
      <c r="EY78" s="306">
        <v>0.80490868986400721</v>
      </c>
      <c r="EZ78" s="307">
        <v>849017</v>
      </c>
      <c r="FA78" s="308">
        <f t="shared" si="39"/>
        <v>10.857407489035552</v>
      </c>
      <c r="FB78" s="308">
        <f t="shared" si="30"/>
        <v>2.873341080576083E-2</v>
      </c>
      <c r="FD78" s="101"/>
      <c r="FE78" s="101"/>
      <c r="FF78" s="101"/>
      <c r="FG78" s="101"/>
      <c r="FH78" s="101"/>
      <c r="FI78" s="374"/>
      <c r="FJ78" s="404"/>
      <c r="FK78" s="404"/>
    </row>
    <row r="79" spans="1:167">
      <c r="C79" s="56"/>
      <c r="D79" s="56"/>
      <c r="E79" s="56"/>
      <c r="F79" s="56"/>
      <c r="G79" s="56"/>
      <c r="H79" s="56"/>
      <c r="I79" s="56"/>
      <c r="J79" s="56"/>
      <c r="K79" s="56"/>
      <c r="L79" s="56"/>
      <c r="M79" s="56"/>
      <c r="P79" s="56"/>
      <c r="Q79" s="56"/>
      <c r="R79" s="56"/>
      <c r="S79" s="56"/>
      <c r="T79" s="301"/>
      <c r="U79" s="301"/>
      <c r="V79" s="302"/>
      <c r="W79" s="56"/>
      <c r="X79" s="56"/>
      <c r="EK79" s="420" t="s">
        <v>171</v>
      </c>
      <c r="EL79" s="420" t="s">
        <v>171</v>
      </c>
      <c r="EM79" s="420" t="s">
        <v>581</v>
      </c>
      <c r="EN79" s="420">
        <v>3793.4029</v>
      </c>
      <c r="EO79" s="420">
        <v>0.19509131013599282</v>
      </c>
      <c r="EP79" s="421">
        <v>849018</v>
      </c>
      <c r="EQ79" s="422">
        <f t="shared" si="37"/>
        <v>2.6315852697206719</v>
      </c>
      <c r="ER79" s="422">
        <f t="shared" si="38"/>
        <v>6.9643163620443337E-3</v>
      </c>
      <c r="ES79">
        <v>0</v>
      </c>
      <c r="EU79" s="306" t="s">
        <v>171</v>
      </c>
      <c r="EV79" s="306" t="s">
        <v>171</v>
      </c>
      <c r="EW79" s="306" t="s">
        <v>581</v>
      </c>
      <c r="EX79" s="306">
        <v>3793.4029</v>
      </c>
      <c r="EY79" s="306">
        <v>0.19509131013599282</v>
      </c>
      <c r="EZ79" s="307">
        <v>849018</v>
      </c>
      <c r="FA79" s="308">
        <f t="shared" si="39"/>
        <v>2.6315852697206719</v>
      </c>
      <c r="FB79" s="308">
        <f t="shared" si="30"/>
        <v>6.9643163620443337E-3</v>
      </c>
      <c r="FD79" s="101"/>
      <c r="FE79" s="101"/>
      <c r="FF79" s="101"/>
      <c r="FG79" s="101"/>
      <c r="FH79" s="101"/>
      <c r="FI79" s="374"/>
      <c r="FJ79" s="404"/>
      <c r="FK79" s="404"/>
    </row>
    <row r="80" spans="1:167">
      <c r="C80" s="56"/>
      <c r="D80" s="56"/>
      <c r="E80" s="56"/>
      <c r="F80" s="56"/>
      <c r="G80" s="56"/>
      <c r="H80" s="56"/>
      <c r="I80" s="56"/>
      <c r="J80" s="56"/>
      <c r="K80" s="56"/>
      <c r="L80" s="56"/>
      <c r="M80" s="56"/>
      <c r="P80" s="56"/>
      <c r="Q80" s="56"/>
      <c r="R80" s="56"/>
      <c r="S80" s="56"/>
      <c r="T80" s="301"/>
      <c r="U80" s="301"/>
      <c r="V80" s="302"/>
      <c r="W80" s="56"/>
      <c r="X80" s="56"/>
      <c r="EK80" s="420" t="s">
        <v>13</v>
      </c>
      <c r="EL80" s="420" t="s">
        <v>13</v>
      </c>
      <c r="EM80" s="420" t="s">
        <v>583</v>
      </c>
      <c r="EN80" s="420">
        <v>2617.3850000000002</v>
      </c>
      <c r="EO80" s="420">
        <v>0.44699524620375919</v>
      </c>
      <c r="EP80" s="421">
        <v>849019</v>
      </c>
      <c r="EQ80" s="422">
        <f t="shared" si="37"/>
        <v>47.276883989502977</v>
      </c>
      <c r="ER80" s="422">
        <f t="shared" si="38"/>
        <v>0.12511514656316489</v>
      </c>
      <c r="ES80">
        <v>0</v>
      </c>
      <c r="EU80" s="306" t="s">
        <v>13</v>
      </c>
      <c r="EV80" s="306" t="s">
        <v>13</v>
      </c>
      <c r="EW80" s="306" t="s">
        <v>583</v>
      </c>
      <c r="EX80" s="306">
        <v>2617.3850000000002</v>
      </c>
      <c r="EY80" s="306">
        <v>0.44699524620375919</v>
      </c>
      <c r="EZ80" s="307">
        <v>849019</v>
      </c>
      <c r="FA80" s="308">
        <f t="shared" si="39"/>
        <v>47.276883989502977</v>
      </c>
      <c r="FB80" s="308">
        <f t="shared" si="30"/>
        <v>0.12511514656316489</v>
      </c>
      <c r="FD80" s="101"/>
      <c r="FE80" s="101"/>
      <c r="FF80" s="101"/>
      <c r="FG80" s="101"/>
      <c r="FH80" s="101"/>
      <c r="FI80" s="374"/>
      <c r="FJ80" s="404"/>
      <c r="FK80" s="404"/>
    </row>
    <row r="81" spans="1:167">
      <c r="C81" s="56"/>
      <c r="D81" s="56"/>
      <c r="E81" s="56"/>
      <c r="F81" s="56"/>
      <c r="G81" s="56"/>
      <c r="H81" s="56"/>
      <c r="I81" s="56"/>
      <c r="J81" s="56"/>
      <c r="K81" s="56"/>
      <c r="L81" s="56"/>
      <c r="M81" s="56"/>
      <c r="P81" s="56"/>
      <c r="Q81" s="56"/>
      <c r="R81" s="56"/>
      <c r="S81" s="56"/>
      <c r="T81" s="301"/>
      <c r="U81" s="301"/>
      <c r="V81" s="302"/>
      <c r="W81" s="56"/>
      <c r="X81" s="56"/>
      <c r="EK81" s="420" t="s">
        <v>13</v>
      </c>
      <c r="EL81" s="420" t="s">
        <v>13</v>
      </c>
      <c r="EM81" s="420" t="s">
        <v>584</v>
      </c>
      <c r="EN81" s="420">
        <v>3238.1246999999998</v>
      </c>
      <c r="EO81" s="420">
        <v>0.5530047537962407</v>
      </c>
      <c r="EP81" s="421">
        <v>849020</v>
      </c>
      <c r="EQ81" s="422">
        <f t="shared" si="37"/>
        <v>58.489081959835524</v>
      </c>
      <c r="ER81" s="422">
        <f t="shared" si="38"/>
        <v>0.15478748691167107</v>
      </c>
      <c r="ES81">
        <v>0</v>
      </c>
      <c r="EU81" s="306" t="s">
        <v>13</v>
      </c>
      <c r="EV81" s="306" t="s">
        <v>13</v>
      </c>
      <c r="EW81" s="306" t="s">
        <v>584</v>
      </c>
      <c r="EX81" s="306">
        <v>3238.1246999999998</v>
      </c>
      <c r="EY81" s="306">
        <v>0.5530047537962407</v>
      </c>
      <c r="EZ81" s="307">
        <v>849020</v>
      </c>
      <c r="FA81" s="308">
        <f t="shared" si="39"/>
        <v>58.489081959835524</v>
      </c>
      <c r="FB81" s="308">
        <f t="shared" si="30"/>
        <v>0.15478748691167107</v>
      </c>
      <c r="FD81" s="101"/>
      <c r="FE81" s="101"/>
      <c r="FF81" s="101"/>
      <c r="FG81" s="101"/>
      <c r="FH81" s="101"/>
      <c r="FI81" s="374"/>
      <c r="FJ81" s="404"/>
      <c r="FK81" s="404"/>
    </row>
    <row r="82" spans="1:167">
      <c r="C82" s="56"/>
      <c r="D82" s="56"/>
      <c r="E82" s="56"/>
      <c r="F82" s="56"/>
      <c r="G82" s="56"/>
      <c r="H82" s="56"/>
      <c r="I82" s="56"/>
      <c r="J82" s="56"/>
      <c r="K82" s="56"/>
      <c r="L82" s="56"/>
      <c r="M82" s="56"/>
      <c r="P82" s="56"/>
      <c r="Q82" s="56"/>
      <c r="R82" s="56"/>
      <c r="S82" s="56"/>
      <c r="T82" s="301"/>
      <c r="U82" s="301"/>
      <c r="V82" s="302"/>
      <c r="W82" s="56"/>
      <c r="X82" s="56"/>
      <c r="EQ82" s="310">
        <f>SUM(EQ62:EQ81)</f>
        <v>5803.4667358936076</v>
      </c>
      <c r="ER82" s="310">
        <f>SUM(ER62:ER81)</f>
        <v>15.358490872558328</v>
      </c>
      <c r="FA82" s="310"/>
      <c r="FB82" s="310"/>
      <c r="FJ82" s="310"/>
      <c r="FK82" s="310"/>
    </row>
    <row r="83" spans="1:167">
      <c r="C83" s="56"/>
      <c r="D83" s="56"/>
      <c r="E83" s="56"/>
      <c r="F83" s="56"/>
      <c r="G83" s="56"/>
      <c r="H83" s="56"/>
      <c r="I83" s="56"/>
      <c r="J83" s="56"/>
      <c r="K83" s="56"/>
      <c r="L83" s="56"/>
      <c r="M83" s="56"/>
      <c r="P83" s="56"/>
      <c r="Q83" s="56"/>
      <c r="R83" s="56"/>
      <c r="S83" s="56"/>
      <c r="T83" s="301"/>
      <c r="U83" s="301"/>
      <c r="V83" s="302"/>
      <c r="W83" s="56"/>
      <c r="X83" s="56"/>
    </row>
    <row r="84" spans="1:167" ht="25.5">
      <c r="A84" s="285">
        <v>2025</v>
      </c>
      <c r="B84" s="282"/>
      <c r="C84" s="283"/>
      <c r="D84" s="284"/>
      <c r="E84" s="284"/>
      <c r="F84" s="284"/>
      <c r="G84" s="284"/>
      <c r="H84" s="284"/>
      <c r="I84" s="284"/>
      <c r="J84" s="227"/>
      <c r="K84" s="282"/>
      <c r="L84" s="282"/>
      <c r="M84" s="283"/>
      <c r="N84" s="284"/>
      <c r="O84" s="284"/>
      <c r="P84" s="284"/>
      <c r="Q84" s="284"/>
      <c r="R84" s="284"/>
      <c r="S84" s="284"/>
      <c r="T84" s="227"/>
      <c r="U84" s="227"/>
      <c r="V84" s="227"/>
      <c r="W84" s="227"/>
      <c r="X84" s="227"/>
      <c r="Y84" s="227"/>
      <c r="Z84" s="227"/>
      <c r="AA84" s="227"/>
      <c r="AB84" s="227"/>
      <c r="AC84" s="227"/>
      <c r="AD84" s="227"/>
      <c r="AE84" s="227"/>
      <c r="AF84" s="227"/>
      <c r="AG84" s="227"/>
      <c r="AH84" s="227"/>
      <c r="AI84" s="227"/>
      <c r="AJ84" s="227"/>
      <c r="AK84" s="227"/>
      <c r="AL84" s="227"/>
      <c r="AM84" s="227"/>
      <c r="AN84" s="227"/>
      <c r="AO84" s="227"/>
      <c r="AP84" s="227"/>
      <c r="AQ84" s="227"/>
      <c r="AR84" s="227"/>
      <c r="AS84" s="227"/>
      <c r="AT84" s="227"/>
      <c r="AU84" s="227"/>
      <c r="AV84" s="227"/>
      <c r="AW84" s="227"/>
      <c r="AX84" s="227"/>
      <c r="AY84" s="227"/>
      <c r="AZ84" s="227"/>
      <c r="BA84" s="227"/>
      <c r="BB84" s="227"/>
      <c r="BC84" s="227"/>
      <c r="BD84" s="227"/>
      <c r="BE84" s="227"/>
      <c r="BF84" s="227"/>
      <c r="BG84" s="227"/>
      <c r="BH84" s="227"/>
      <c r="BI84" s="227"/>
      <c r="BJ84" s="227"/>
      <c r="BK84" s="227"/>
      <c r="BL84" s="227"/>
      <c r="BM84" s="227"/>
      <c r="BN84" s="227"/>
      <c r="BO84" s="227"/>
      <c r="BP84" s="227"/>
      <c r="BQ84" s="227"/>
      <c r="BR84" s="227"/>
      <c r="BS84" s="227"/>
      <c r="BT84" s="227"/>
      <c r="BU84" s="227"/>
      <c r="BV84" s="227"/>
      <c r="BW84" s="227"/>
      <c r="BX84" s="227"/>
      <c r="BY84" s="227"/>
      <c r="BZ84" s="227"/>
      <c r="CA84" s="227"/>
      <c r="CB84" s="227"/>
      <c r="CC84" s="227"/>
      <c r="CD84" s="227"/>
      <c r="CE84" s="227"/>
      <c r="CF84" s="227"/>
      <c r="CG84" s="227"/>
      <c r="CH84" s="227"/>
      <c r="CI84" s="227"/>
      <c r="CJ84" s="227"/>
      <c r="CK84" s="227"/>
      <c r="CL84" s="227"/>
      <c r="CM84" s="227"/>
      <c r="CN84" s="227"/>
      <c r="CO84" s="227"/>
      <c r="CP84" s="227"/>
      <c r="CQ84" s="227"/>
      <c r="CR84" s="227"/>
      <c r="CS84" s="227"/>
      <c r="CT84" s="227"/>
      <c r="CU84" s="227"/>
      <c r="CV84" s="227"/>
      <c r="CW84" s="227"/>
      <c r="CX84" s="227"/>
      <c r="CY84" s="227"/>
      <c r="CZ84" s="227"/>
      <c r="DA84" s="227"/>
      <c r="DB84" s="227"/>
      <c r="DC84" s="227"/>
      <c r="DD84" s="227"/>
      <c r="DE84" s="227"/>
      <c r="DF84" s="227"/>
      <c r="DG84" s="227"/>
      <c r="DH84" s="227"/>
      <c r="DI84" s="227"/>
      <c r="DJ84" s="227"/>
      <c r="DK84" s="227"/>
      <c r="DL84" s="227"/>
      <c r="DM84" s="227"/>
      <c r="DN84" s="227"/>
      <c r="DO84" s="227"/>
      <c r="DP84" s="227"/>
      <c r="DQ84" s="227"/>
      <c r="DR84" s="227"/>
      <c r="DS84" s="227"/>
      <c r="DT84" s="227"/>
      <c r="DU84" s="227"/>
      <c r="DV84" s="227"/>
      <c r="DW84" s="227"/>
      <c r="DX84" s="227"/>
      <c r="DY84" s="227"/>
      <c r="DZ84" s="227"/>
      <c r="EA84" s="227"/>
      <c r="EB84" s="227"/>
      <c r="EC84" s="227"/>
      <c r="ED84" s="227"/>
      <c r="EE84" s="227"/>
      <c r="EF84" s="227"/>
      <c r="EG84" s="227"/>
      <c r="EH84" s="227"/>
      <c r="EI84" s="227"/>
      <c r="EJ84" s="227"/>
      <c r="EK84" s="227"/>
      <c r="EL84" s="227"/>
      <c r="EM84" s="227"/>
      <c r="EN84" s="227"/>
      <c r="EO84" s="227"/>
      <c r="EP84" s="227"/>
      <c r="EQ84" s="227"/>
      <c r="ER84" s="227"/>
      <c r="ES84" s="227"/>
      <c r="EU84" s="227"/>
      <c r="EV84" s="227"/>
      <c r="EW84" s="227"/>
      <c r="EX84" s="227"/>
      <c r="EY84" s="227"/>
      <c r="EZ84" s="227"/>
      <c r="FA84" s="227"/>
      <c r="FB84" s="227"/>
    </row>
    <row r="85" spans="1:167" ht="23.5" thickBot="1">
      <c r="A85" s="32" t="s">
        <v>642</v>
      </c>
      <c r="C85" t="s">
        <v>464</v>
      </c>
      <c r="D85" t="s">
        <v>468</v>
      </c>
      <c r="E85" t="s">
        <v>625</v>
      </c>
      <c r="F85" t="s">
        <v>466</v>
      </c>
      <c r="G85" t="s">
        <v>467</v>
      </c>
      <c r="H85" t="s">
        <v>21</v>
      </c>
      <c r="K85" s="32" t="s">
        <v>626</v>
      </c>
      <c r="CV85" s="32" t="s">
        <v>627</v>
      </c>
      <c r="CY85" t="s">
        <v>479</v>
      </c>
      <c r="CZ85" t="s">
        <v>480</v>
      </c>
      <c r="EK85" s="353" t="s">
        <v>861</v>
      </c>
      <c r="FD85" s="353"/>
    </row>
    <row r="86" spans="1:167">
      <c r="A86" t="s">
        <v>628</v>
      </c>
      <c r="C86" t="s">
        <v>427</v>
      </c>
      <c r="D86" t="s">
        <v>428</v>
      </c>
      <c r="E86" t="s">
        <v>429</v>
      </c>
      <c r="F86" t="s">
        <v>430</v>
      </c>
      <c r="G86" t="s">
        <v>431</v>
      </c>
      <c r="H86" t="s">
        <v>457</v>
      </c>
      <c r="K86" s="159" t="s">
        <v>483</v>
      </c>
      <c r="L86" s="159"/>
      <c r="M86" s="567" t="s">
        <v>464</v>
      </c>
      <c r="N86" s="568"/>
      <c r="O86" s="568"/>
      <c r="P86" s="568"/>
      <c r="Q86" s="568"/>
      <c r="R86" s="568"/>
      <c r="S86" s="568"/>
      <c r="T86" s="568"/>
      <c r="U86" s="568"/>
      <c r="V86" s="568"/>
      <c r="W86" s="568"/>
      <c r="X86" s="568"/>
      <c r="Y86" s="568"/>
      <c r="Z86" s="569"/>
      <c r="AA86" s="567" t="s">
        <v>468</v>
      </c>
      <c r="AB86" s="568"/>
      <c r="AC86" s="568"/>
      <c r="AD86" s="568"/>
      <c r="AE86" s="568"/>
      <c r="AF86" s="568"/>
      <c r="AG86" s="568"/>
      <c r="AH86" s="568"/>
      <c r="AI86" s="568"/>
      <c r="AJ86" s="568"/>
      <c r="AK86" s="568"/>
      <c r="AL86" s="568"/>
      <c r="AM86" s="568"/>
      <c r="AN86" s="569"/>
      <c r="AO86" s="567" t="s">
        <v>465</v>
      </c>
      <c r="AP86" s="568"/>
      <c r="AQ86" s="568"/>
      <c r="AR86" s="568"/>
      <c r="AS86" s="568"/>
      <c r="AT86" s="568"/>
      <c r="AU86" s="568"/>
      <c r="AV86" s="568"/>
      <c r="AW86" s="568"/>
      <c r="AX86" s="568"/>
      <c r="AY86" s="568"/>
      <c r="AZ86" s="568"/>
      <c r="BA86" s="568"/>
      <c r="BB86" s="569"/>
      <c r="BC86" s="567" t="s">
        <v>466</v>
      </c>
      <c r="BD86" s="568"/>
      <c r="BE86" s="568"/>
      <c r="BF86" s="568"/>
      <c r="BG86" s="568"/>
      <c r="BH86" s="568"/>
      <c r="BI86" s="568"/>
      <c r="BJ86" s="568"/>
      <c r="BK86" s="568"/>
      <c r="BL86" s="568"/>
      <c r="BM86" s="568"/>
      <c r="BN86" s="568"/>
      <c r="BO86" s="568"/>
      <c r="BP86" s="569"/>
      <c r="BQ86" s="567" t="s">
        <v>467</v>
      </c>
      <c r="BR86" s="568"/>
      <c r="BS86" s="568"/>
      <c r="BT86" s="568"/>
      <c r="BU86" s="568"/>
      <c r="BV86" s="568"/>
      <c r="BW86" s="568"/>
      <c r="BX86" s="568"/>
      <c r="BY86" s="568"/>
      <c r="BZ86" s="568"/>
      <c r="CA86" s="568"/>
      <c r="CB86" s="568"/>
      <c r="CC86" s="568"/>
      <c r="CD86" s="569"/>
      <c r="CE86" s="567" t="s">
        <v>21</v>
      </c>
      <c r="CF86" s="568"/>
      <c r="CG86" s="568"/>
      <c r="CH86" s="568"/>
      <c r="CI86" s="568"/>
      <c r="CJ86" s="568"/>
      <c r="CK86" s="568"/>
      <c r="CL86" s="568"/>
      <c r="CM86" s="568"/>
      <c r="CN86" s="568"/>
      <c r="CO86" s="568"/>
      <c r="CP86" s="568"/>
      <c r="CQ86" s="568"/>
      <c r="CR86" s="569"/>
      <c r="CV86" s="263" t="s">
        <v>629</v>
      </c>
      <c r="CW86" s="263"/>
      <c r="CX86" s="570" t="s">
        <v>630</v>
      </c>
      <c r="CY86" s="570"/>
      <c r="CZ86" s="570"/>
      <c r="DA86" s="570"/>
      <c r="DB86" s="571" t="s">
        <v>631</v>
      </c>
      <c r="DC86" s="570"/>
      <c r="DD86" s="570"/>
      <c r="DE86" s="570"/>
      <c r="DF86" s="571" t="s">
        <v>465</v>
      </c>
      <c r="DG86" s="570"/>
      <c r="DH86" s="570"/>
      <c r="DI86" s="570"/>
      <c r="DJ86" s="571" t="s">
        <v>466</v>
      </c>
      <c r="DK86" s="570"/>
      <c r="DL86" s="570"/>
      <c r="DM86" s="570"/>
      <c r="DN86" s="571" t="s">
        <v>467</v>
      </c>
      <c r="DO86" s="570"/>
      <c r="DP86" s="570"/>
      <c r="DQ86" s="570"/>
      <c r="DR86" s="571" t="s">
        <v>21</v>
      </c>
      <c r="DS86" s="570"/>
      <c r="DT86" s="570"/>
      <c r="DU86" s="570"/>
      <c r="DW86" s="278"/>
      <c r="DX86" s="278"/>
      <c r="DY86" s="444" t="s">
        <v>589</v>
      </c>
      <c r="DZ86" s="444"/>
      <c r="EB86" s="278"/>
      <c r="EC86" s="278"/>
      <c r="ED86" s="444" t="s">
        <v>632</v>
      </c>
      <c r="EE86" s="444"/>
      <c r="EI86" t="s">
        <v>633</v>
      </c>
    </row>
    <row r="87" spans="1:167">
      <c r="A87" s="199"/>
      <c r="B87" s="199"/>
      <c r="C87" s="202" t="s">
        <v>464</v>
      </c>
      <c r="D87" s="202" t="s">
        <v>468</v>
      </c>
      <c r="E87" s="202" t="s">
        <v>465</v>
      </c>
      <c r="F87" s="202" t="s">
        <v>466</v>
      </c>
      <c r="G87" s="202" t="s">
        <v>467</v>
      </c>
      <c r="H87" s="202" t="s">
        <v>21</v>
      </c>
      <c r="K87" s="159"/>
      <c r="L87" s="159"/>
      <c r="M87" s="211" t="s">
        <v>473</v>
      </c>
      <c r="N87" s="160" t="s">
        <v>156</v>
      </c>
      <c r="O87" s="160" t="s">
        <v>476</v>
      </c>
      <c r="P87" s="160" t="s">
        <v>477</v>
      </c>
      <c r="Q87" s="160" t="s">
        <v>478</v>
      </c>
      <c r="R87" s="160" t="s">
        <v>479</v>
      </c>
      <c r="S87" s="160" t="s">
        <v>480</v>
      </c>
      <c r="T87" s="160" t="s">
        <v>481</v>
      </c>
      <c r="U87" s="160" t="s">
        <v>449</v>
      </c>
      <c r="V87" s="160" t="s">
        <v>157</v>
      </c>
      <c r="W87" s="160" t="s">
        <v>474</v>
      </c>
      <c r="X87" s="160" t="s">
        <v>475</v>
      </c>
      <c r="Y87" s="160" t="s">
        <v>46</v>
      </c>
      <c r="Z87" s="212" t="s">
        <v>11</v>
      </c>
      <c r="AA87" s="211" t="s">
        <v>473</v>
      </c>
      <c r="AB87" s="160" t="s">
        <v>156</v>
      </c>
      <c r="AC87" s="160" t="s">
        <v>476</v>
      </c>
      <c r="AD87" s="160" t="s">
        <v>477</v>
      </c>
      <c r="AE87" s="160" t="s">
        <v>478</v>
      </c>
      <c r="AF87" s="160" t="s">
        <v>479</v>
      </c>
      <c r="AG87" s="160" t="s">
        <v>480</v>
      </c>
      <c r="AH87" s="160" t="s">
        <v>481</v>
      </c>
      <c r="AI87" s="160" t="s">
        <v>449</v>
      </c>
      <c r="AJ87" s="160" t="s">
        <v>157</v>
      </c>
      <c r="AK87" s="160" t="s">
        <v>474</v>
      </c>
      <c r="AL87" s="160" t="s">
        <v>475</v>
      </c>
      <c r="AM87" s="160" t="s">
        <v>46</v>
      </c>
      <c r="AN87" s="212" t="s">
        <v>11</v>
      </c>
      <c r="AO87" s="211" t="s">
        <v>473</v>
      </c>
      <c r="AP87" s="160" t="s">
        <v>156</v>
      </c>
      <c r="AQ87" s="160" t="s">
        <v>476</v>
      </c>
      <c r="AR87" s="160" t="s">
        <v>477</v>
      </c>
      <c r="AS87" s="160" t="s">
        <v>478</v>
      </c>
      <c r="AT87" s="160" t="s">
        <v>479</v>
      </c>
      <c r="AU87" s="160" t="s">
        <v>480</v>
      </c>
      <c r="AV87" s="160" t="s">
        <v>481</v>
      </c>
      <c r="AW87" s="160" t="s">
        <v>449</v>
      </c>
      <c r="AX87" s="160" t="s">
        <v>157</v>
      </c>
      <c r="AY87" s="160" t="s">
        <v>474</v>
      </c>
      <c r="AZ87" s="160" t="s">
        <v>475</v>
      </c>
      <c r="BA87" s="160" t="s">
        <v>46</v>
      </c>
      <c r="BB87" s="212" t="s">
        <v>11</v>
      </c>
      <c r="BC87" s="211" t="s">
        <v>473</v>
      </c>
      <c r="BD87" s="160" t="s">
        <v>156</v>
      </c>
      <c r="BE87" s="160" t="s">
        <v>476</v>
      </c>
      <c r="BF87" s="160" t="s">
        <v>477</v>
      </c>
      <c r="BG87" s="160" t="s">
        <v>478</v>
      </c>
      <c r="BH87" s="160" t="s">
        <v>479</v>
      </c>
      <c r="BI87" s="160" t="s">
        <v>480</v>
      </c>
      <c r="BJ87" s="160" t="s">
        <v>481</v>
      </c>
      <c r="BK87" s="160" t="s">
        <v>449</v>
      </c>
      <c r="BL87" s="160" t="s">
        <v>157</v>
      </c>
      <c r="BM87" s="160" t="s">
        <v>474</v>
      </c>
      <c r="BN87" s="160" t="s">
        <v>475</v>
      </c>
      <c r="BO87" s="160" t="s">
        <v>46</v>
      </c>
      <c r="BP87" s="212" t="s">
        <v>11</v>
      </c>
      <c r="BQ87" s="211" t="s">
        <v>473</v>
      </c>
      <c r="BR87" s="160" t="s">
        <v>156</v>
      </c>
      <c r="BS87" s="160" t="s">
        <v>476</v>
      </c>
      <c r="BT87" s="160" t="s">
        <v>477</v>
      </c>
      <c r="BU87" s="160" t="s">
        <v>478</v>
      </c>
      <c r="BV87" s="160" t="s">
        <v>479</v>
      </c>
      <c r="BW87" s="160" t="s">
        <v>480</v>
      </c>
      <c r="BX87" s="160" t="s">
        <v>481</v>
      </c>
      <c r="BY87" s="160" t="s">
        <v>449</v>
      </c>
      <c r="BZ87" s="160" t="s">
        <v>157</v>
      </c>
      <c r="CA87" s="160" t="s">
        <v>474</v>
      </c>
      <c r="CB87" s="160" t="s">
        <v>475</v>
      </c>
      <c r="CC87" s="160" t="s">
        <v>46</v>
      </c>
      <c r="CD87" s="212" t="s">
        <v>11</v>
      </c>
      <c r="CE87" s="211" t="s">
        <v>473</v>
      </c>
      <c r="CF87" s="160" t="s">
        <v>156</v>
      </c>
      <c r="CG87" s="160" t="s">
        <v>476</v>
      </c>
      <c r="CH87" s="160" t="s">
        <v>477</v>
      </c>
      <c r="CI87" s="160" t="s">
        <v>478</v>
      </c>
      <c r="CJ87" s="160" t="s">
        <v>479</v>
      </c>
      <c r="CK87" s="160" t="s">
        <v>480</v>
      </c>
      <c r="CL87" s="160" t="s">
        <v>481</v>
      </c>
      <c r="CM87" s="160" t="s">
        <v>449</v>
      </c>
      <c r="CN87" s="160" t="s">
        <v>157</v>
      </c>
      <c r="CO87" s="160" t="s">
        <v>474</v>
      </c>
      <c r="CP87" s="160" t="s">
        <v>475</v>
      </c>
      <c r="CQ87" s="160" t="s">
        <v>46</v>
      </c>
      <c r="CR87" s="212" t="s">
        <v>11</v>
      </c>
      <c r="CV87" s="263"/>
      <c r="CW87" s="263"/>
      <c r="CX87" s="264" t="s">
        <v>156</v>
      </c>
      <c r="CY87" s="264" t="s">
        <v>479</v>
      </c>
      <c r="CZ87" s="264" t="s">
        <v>480</v>
      </c>
      <c r="DA87" s="264" t="s">
        <v>157</v>
      </c>
      <c r="DB87" s="264" t="s">
        <v>156</v>
      </c>
      <c r="DC87" s="264" t="s">
        <v>479</v>
      </c>
      <c r="DD87" s="264" t="s">
        <v>480</v>
      </c>
      <c r="DE87" s="264" t="s">
        <v>157</v>
      </c>
      <c r="DF87" s="264" t="s">
        <v>156</v>
      </c>
      <c r="DG87" s="264" t="s">
        <v>479</v>
      </c>
      <c r="DH87" s="264" t="s">
        <v>480</v>
      </c>
      <c r="DI87" s="264" t="s">
        <v>157</v>
      </c>
      <c r="DJ87" s="264" t="s">
        <v>156</v>
      </c>
      <c r="DK87" s="264" t="s">
        <v>479</v>
      </c>
      <c r="DL87" s="264" t="s">
        <v>480</v>
      </c>
      <c r="DM87" s="264" t="s">
        <v>157</v>
      </c>
      <c r="DN87" s="264" t="s">
        <v>156</v>
      </c>
      <c r="DO87" s="264" t="s">
        <v>479</v>
      </c>
      <c r="DP87" s="264" t="s">
        <v>480</v>
      </c>
      <c r="DQ87" s="264" t="s">
        <v>157</v>
      </c>
      <c r="DR87" s="264" t="s">
        <v>156</v>
      </c>
      <c r="DS87" s="264" t="s">
        <v>479</v>
      </c>
      <c r="DT87" s="264" t="s">
        <v>480</v>
      </c>
      <c r="DU87" s="264" t="s">
        <v>157</v>
      </c>
      <c r="DW87" s="278"/>
      <c r="DX87" s="278"/>
      <c r="DY87" s="280" t="s">
        <v>586</v>
      </c>
      <c r="DZ87" s="280" t="s">
        <v>634</v>
      </c>
      <c r="EB87" s="278"/>
      <c r="EC87" s="278"/>
      <c r="ED87" s="280" t="s">
        <v>635</v>
      </c>
      <c r="EE87" s="280" t="s">
        <v>634</v>
      </c>
      <c r="EK87" s="420" t="s">
        <v>565</v>
      </c>
      <c r="EL87" s="420"/>
      <c r="EM87" s="420" t="s">
        <v>566</v>
      </c>
      <c r="EN87" s="420" t="s">
        <v>567</v>
      </c>
      <c r="EO87" s="420" t="s">
        <v>563</v>
      </c>
      <c r="EP87" s="421" t="s">
        <v>636</v>
      </c>
      <c r="EQ87" s="421" t="s">
        <v>635</v>
      </c>
      <c r="ER87" s="421" t="s">
        <v>634</v>
      </c>
      <c r="ES87" s="424" t="s">
        <v>867</v>
      </c>
      <c r="EU87" s="306" t="s">
        <v>565</v>
      </c>
      <c r="EV87" s="306"/>
      <c r="EW87" s="306" t="s">
        <v>566</v>
      </c>
      <c r="EX87" s="306" t="s">
        <v>567</v>
      </c>
      <c r="EY87" s="306" t="s">
        <v>563</v>
      </c>
      <c r="EZ87" s="307" t="s">
        <v>598</v>
      </c>
      <c r="FA87" s="307" t="s">
        <v>586</v>
      </c>
      <c r="FB87" s="307" t="s">
        <v>259</v>
      </c>
      <c r="FD87" s="101"/>
      <c r="FE87" s="101"/>
      <c r="FF87" s="101"/>
      <c r="FG87" s="101"/>
      <c r="FH87" s="101"/>
      <c r="FI87" s="374"/>
      <c r="FJ87" s="374"/>
      <c r="FK87" s="374"/>
    </row>
    <row r="88" spans="1:167">
      <c r="A88" s="205" t="s">
        <v>606</v>
      </c>
      <c r="B88" s="205" t="s">
        <v>607</v>
      </c>
      <c r="C88" s="201">
        <f>$K29*KTDB_TripDistribution_2025!T$12</f>
        <v>224.38773995403943</v>
      </c>
      <c r="D88" s="201">
        <f>$K29*KTDB_TripDistribution_2025!U$12</f>
        <v>1623.9399796731755</v>
      </c>
      <c r="E88" s="201">
        <f>$K29*KTDB_TripDistribution_2025!V$12</f>
        <v>93.161417044858808</v>
      </c>
      <c r="F88" s="201">
        <f>$K29*KTDB_TripDistribution_2025!W$12</f>
        <v>0.14640348409354423</v>
      </c>
      <c r="G88" s="201">
        <f>$K29*KTDB_TripDistribution_2025!X$12</f>
        <v>0.55307982879783568</v>
      </c>
      <c r="H88" s="201">
        <f>$K29*KTDB_TripDistribution_2025!Y$12</f>
        <v>1942.1886199849655</v>
      </c>
      <c r="J88" s="230">
        <f t="shared" ref="J88:J92" si="50">CR88</f>
        <v>1942.1886199849653</v>
      </c>
      <c r="K88" s="206" t="s">
        <v>606</v>
      </c>
      <c r="L88" s="206" t="s">
        <v>607</v>
      </c>
      <c r="M88" s="206">
        <f>INDEX($A$87:$H$100,MATCH($L88,$B$87:$B$100,0),MATCH($M$86,$A$87:$H$87,0))*고양시_Modal_split!C$3 * 0.01</f>
        <v>0.62828567187131035</v>
      </c>
      <c r="N88" s="206">
        <f>INDEX($A$87:$H$100,MATCH($L88,$B$87:$B$100,0),MATCH($M$86,$A$87:$H$87,0))*고양시_Modal_split!D$3 * 0.01</f>
        <v>105.52955410038474</v>
      </c>
      <c r="O88" s="206">
        <f>INDEX($A$87:$H$100,MATCH($L88,$B$87:$B$100,0),MATCH($M$86,$A$87:$H$87,0))*고양시_Modal_split!E$3 * 0.01</f>
        <v>12.767662403384843</v>
      </c>
      <c r="P88" s="206">
        <f>INDEX($A$87:$H$100,MATCH($L88,$B$87:$B$100,0),MATCH($M$86,$A$87:$H$87,0))*고양시_Modal_split!F$3 * 0.01</f>
        <v>20.576355753785414</v>
      </c>
      <c r="Q88" s="206">
        <f>INDEX($A$87:$H$100,MATCH($L88,$B$87:$B$100,0),MATCH($M$86,$A$87:$H$87,0))*고양시_Modal_split!G$3 * 0.01</f>
        <v>2.0643672075771629</v>
      </c>
      <c r="R88" s="206">
        <f>INDEX($A$87:$H$100,MATCH($L88,$B$87:$B$100,0),MATCH($M$86,$A$87:$H$87,0))*고양시_Modal_split!H$3 * 0.01</f>
        <v>2.2438773995403945E-2</v>
      </c>
      <c r="S88" s="206">
        <f>INDEX($A$87:$H$100,MATCH($L88,$B$87:$B$100,0),MATCH($M$86,$A$87:$H$87,0))*고양시_Modal_split!I$3 * 0.01</f>
        <v>6.237979170722296</v>
      </c>
      <c r="T88" s="206">
        <f>INDEX($A$87:$H$100,MATCH($L88,$B$87:$B$100,0),MATCH($M$86,$A$87:$H$87,0))*고양시_Modal_split!J$3 * 0.01</f>
        <v>68.303628042009606</v>
      </c>
      <c r="U88" s="206">
        <f>INDEX($A$87:$H$100,MATCH($L88,$B$87:$B$100,0),MATCH($M$86,$A$87:$H$87,0))*고양시_Modal_split!K$3 * 0.01</f>
        <v>0.33658160993105918</v>
      </c>
      <c r="V88" s="206">
        <f>INDEX($A$87:$H$100,MATCH($L88,$B$87:$B$100,0),MATCH($M$86,$A$87:$H$87,0))*고양시_Modal_split!L$3 * 0.01</f>
        <v>6.7765097466119917</v>
      </c>
      <c r="W88" s="206">
        <f>INDEX($A$87:$H$100,MATCH($L88,$B$87:$B$100,0),MATCH($M$86,$A$87:$H$87,0))*고양시_Modal_split!M$3 * 0.01</f>
        <v>0.51609180189429071</v>
      </c>
      <c r="X88" s="206">
        <f>INDEX($A$87:$H$100,MATCH($L88,$B$87:$B$100,0),MATCH($M$86,$A$87:$H$87,0))*고양시_Modal_split!N$3 * 0.01</f>
        <v>0.22438773995403946</v>
      </c>
      <c r="Y88" s="206">
        <f>INDEX($A$87:$H$100,MATCH($L88,$B$87:$B$100,0),MATCH($M$86,$A$87:$H$87,0))*고양시_Modal_split!O$3 * 0.01</f>
        <v>0.40389793191727097</v>
      </c>
      <c r="Z88" s="209">
        <f>INDEX($A$87:$H$100,MATCH($L88,$B$87:$B$100,0),MATCH($M$86,$A$87:$H$87,0))*고양시_Modal_split!P$3 * 0.01</f>
        <v>224.38773995403943</v>
      </c>
      <c r="AA88" s="207">
        <f>INDEX($A$87:$H$100,MATCH($L88,$B$87:$B$100,0),MATCH($AA$86,$A$87:$H$87,0))*고양시_Modal_split!C$3 * 0.01</f>
        <v>4.5470319430848907</v>
      </c>
      <c r="AB88" s="207">
        <f>INDEX($A$87:$H$100,MATCH($L88,$B$87:$B$100,0),MATCH($AA$86,$A$87:$H$87,0))*고양시_Modal_split!D$3 * 0.01</f>
        <v>763.73897244029445</v>
      </c>
      <c r="AC88" s="207">
        <f>INDEX($A$87:$H$100,MATCH($L88,$B$87:$B$100,0),MATCH($AA$86,$A$87:$H$87,0))*고양시_Modal_split!E$3 * 0.01</f>
        <v>92.402184843403688</v>
      </c>
      <c r="AD88" s="207">
        <f>INDEX($A$87:$H$100,MATCH($L88,$B$87:$B$100,0),MATCH($AA$86,$A$87:$H$87,0))*고양시_Modal_split!F$3 * 0.01</f>
        <v>148.91529613603021</v>
      </c>
      <c r="AE88" s="207">
        <f>INDEX($A$87:$H$100,MATCH($L88,$B$87:$B$100,0),MATCH($AA$86,$A$87:$H$87,0))*고양시_Modal_split!G$3 * 0.01</f>
        <v>14.940247812993213</v>
      </c>
      <c r="AF88" s="207">
        <f>INDEX($A$87:$H$100,MATCH($L88,$B$87:$B$100,0),MATCH($AA$86,$A$87:$H$87,0))*고양시_Modal_split!H$3 * 0.01</f>
        <v>0.16239399796731754</v>
      </c>
      <c r="AG88" s="207">
        <f>INDEX($A$87:$H$100,MATCH($L88,$B$87:$B$100,0),MATCH($AA$86,$A$87:$H$87,0))*고양시_Modal_split!I$3 * 0.01</f>
        <v>45.145531434914275</v>
      </c>
      <c r="AH88" s="207">
        <f>INDEX($A$87:$H$100,MATCH($L88,$B$87:$B$100,0),MATCH($AA$86,$A$87:$H$87,0))*고양시_Modal_split!J$3 * 0.01</f>
        <v>494.32732981251468</v>
      </c>
      <c r="AI88" s="207">
        <f>INDEX($A$87:$H$100,MATCH($L88,$B$87:$B$100,0),MATCH($AA$86,$A$87:$H$87,0))*고양시_Modal_split!K$3 * 0.01</f>
        <v>2.4359099695097632</v>
      </c>
      <c r="AJ88" s="207">
        <f>INDEX($A$87:$H$100,MATCH($L88,$B$87:$B$100,0),MATCH($AA$86,$A$87:$H$87,0))*고양시_Modal_split!L$3 * 0.01</f>
        <v>49.042987386129901</v>
      </c>
      <c r="AK88" s="207">
        <f>INDEX($A$87:$H$100,MATCH($L88,$B$87:$B$100,0),MATCH($AA$86,$A$87:$H$87,0))*고양시_Modal_split!M$3 * 0.01</f>
        <v>3.7350619532483034</v>
      </c>
      <c r="AL88" s="207">
        <f>INDEX($A$87:$H$100,MATCH($L88,$B$87:$B$100,0),MATCH($AA$86,$A$87:$H$87,0))*고양시_Modal_split!N$3 * 0.01</f>
        <v>1.6239399796731755</v>
      </c>
      <c r="AM88" s="207">
        <f>INDEX($A$87:$H$100,MATCH($L88,$B$87:$B$100,0),MATCH($AA$86,$A$87:$H$87,0))*고양시_Modal_split!O$3 * 0.01</f>
        <v>2.9230919634117156</v>
      </c>
      <c r="AN88" s="207">
        <f>INDEX($A$87:$H$100,MATCH($L88,$B$87:$B$100,0),MATCH($AA$86,$A$87:$H$87,0))*고양시_Modal_split!P$3 * 0.01</f>
        <v>1623.9399796731757</v>
      </c>
      <c r="AO88" s="303">
        <f>INDEX($A$87:$H$100,MATCH($L88,$B$87:$B$100,0),MATCH($AO$86,$A$87:$H$87,0))*고양시_Modal_split!C$3 * 0.01</f>
        <v>0.26085196772560465</v>
      </c>
      <c r="AP88" s="303">
        <f>INDEX($A$87:$H$100,MATCH($L88,$B$87:$B$100,0),MATCH($AO$86,$A$87:$H$87,0))*고양시_Modal_split!D$3 * 0.01</f>
        <v>43.813814436197099</v>
      </c>
      <c r="AQ88" s="303">
        <f>INDEX($A$87:$H$100,MATCH($L88,$B$87:$B$100,0),MATCH($AO$86,$A$87:$H$87,0))*고양시_Modal_split!E$3 * 0.01</f>
        <v>5.3008846298524661</v>
      </c>
      <c r="AR88" s="303">
        <f>INDEX($A$87:$H$100,MATCH($L88,$B$87:$B$100,0),MATCH($AO$86,$A$87:$H$87,0))*고양시_Modal_split!F$3 * 0.01</f>
        <v>8.542901943013554</v>
      </c>
      <c r="AS88" s="303">
        <f>INDEX($A$87:$H$100,MATCH($L88,$B$87:$B$100,0),MATCH($AO$86,$A$87:$H$87,0))*고양시_Modal_split!G$3 * 0.01</f>
        <v>0.85708503681270098</v>
      </c>
      <c r="AT88" s="303">
        <f>INDEX($A$87:$H$100,MATCH($L88,$B$87:$B$100,0),MATCH($AO$86,$A$87:$H$87,0))*고양시_Modal_split!H$3 * 0.01</f>
        <v>9.3161417044858811E-3</v>
      </c>
      <c r="AU88" s="303">
        <f>INDEX($A$87:$H$100,MATCH($L88,$B$87:$B$100,0),MATCH($AO$86,$A$87:$H$87,0))*고양시_Modal_split!I$3 * 0.01</f>
        <v>2.5898873938470746</v>
      </c>
      <c r="AV88" s="303">
        <f>INDEX($A$87:$H$100,MATCH($L88,$B$87:$B$100,0),MATCH($AO$86,$A$87:$H$87,0))*고양시_Modal_split!J$3 * 0.01</f>
        <v>28.358335348455022</v>
      </c>
      <c r="AW88" s="303">
        <f>INDEX($A$87:$H$100,MATCH($L88,$B$87:$B$100,0),MATCH($AO$86,$A$87:$H$87,0))*고양시_Modal_split!K$3 * 0.01</f>
        <v>0.13974212556728821</v>
      </c>
      <c r="AX88" s="303">
        <f>INDEX($A$87:$H$100,MATCH($L88,$B$87:$B$100,0),MATCH($AO$86,$A$87:$H$87,0))*고양시_Modal_split!L$3 * 0.01</f>
        <v>2.8134747947547361</v>
      </c>
      <c r="AY88" s="303">
        <f>INDEX($A$87:$H$100,MATCH($L88,$B$87:$B$100,0),MATCH($AO$86,$A$87:$H$87,0))*고양시_Modal_split!M$3 * 0.01</f>
        <v>0.21427125920317525</v>
      </c>
      <c r="AZ88" s="303">
        <f>INDEX($A$87:$H$100,MATCH($L88,$B$87:$B$100,0),MATCH($AO$86,$A$87:$H$87,0))*고양시_Modal_split!N$3 * 0.01</f>
        <v>9.3161417044858807E-2</v>
      </c>
      <c r="BA88" s="207">
        <f>INDEX($A$87:$H$100,MATCH($L88,$B$87:$B$100,0),MATCH($AO$86,$A$87:$H$87,0))*고양시_Modal_split!O$3 * 0.01</f>
        <v>0.16769055068074587</v>
      </c>
      <c r="BB88" s="207">
        <f>INDEX($A$87:$H$100,MATCH($L88,$B$87:$B$100,0),MATCH($AO$86,$A$87:$H$87,0))*고양시_Modal_split!P$3 * 0.01</f>
        <v>93.161417044858808</v>
      </c>
      <c r="BC88" s="207">
        <f>INDEX($A$87:$H$100,MATCH($L88,$B$87:$B$100,0),MATCH($BC$86,$A$87:$H$87,0))*고양시_Modal_split!C$3 * 0.01</f>
        <v>4.0992975546192377E-4</v>
      </c>
      <c r="BD88" s="207">
        <f>INDEX($A$87:$H$100,MATCH($L88,$B$87:$B$100,0),MATCH($BC$86,$A$87:$H$87,0))*고양시_Modal_split!D$3 * 0.01</f>
        <v>6.8853558569193854E-2</v>
      </c>
      <c r="BE88" s="207">
        <f>INDEX($A$87:$H$100,MATCH($L88,$B$87:$B$100,0),MATCH($BC$86,$A$87:$H$87,0))*고양시_Modal_split!E$3 * 0.01</f>
        <v>8.330358244922665E-3</v>
      </c>
      <c r="BF88" s="207">
        <f>INDEX($A$87:$H$100,MATCH($L88,$B$87:$B$100,0),MATCH($BC$86,$A$87:$H$87,0))*고양시_Modal_split!F$3 * 0.01</f>
        <v>1.3425199491378006E-2</v>
      </c>
      <c r="BG88" s="207">
        <f>INDEX($A$87:$H$100,MATCH($L88,$B$87:$B$100,0),MATCH($BC$86,$A$87:$H$87,0))*고양시_Modal_split!G$3 * 0.01</f>
        <v>1.346912053660607E-3</v>
      </c>
      <c r="BH88" s="207">
        <f>INDEX($A$87:$H$100,MATCH($L88,$B$87:$B$100,0),MATCH($BC$86,$A$87:$H$87,0))*고양시_Modal_split!H$3 * 0.01</f>
        <v>1.4640348409354422E-5</v>
      </c>
      <c r="BI88" s="207">
        <f>INDEX($A$87:$H$100,MATCH($L88,$B$87:$B$100,0),MATCH($BC$86,$A$87:$H$87,0))*고양시_Modal_split!I$3 * 0.01</f>
        <v>4.0700168578005295E-3</v>
      </c>
      <c r="BJ88" s="207">
        <f>INDEX($A$87:$H$100,MATCH($L88,$B$87:$B$100,0),MATCH($BC$86,$A$87:$H$87,0))*고양시_Modal_split!J$3 * 0.01</f>
        <v>4.4565220558074867E-2</v>
      </c>
      <c r="BK88" s="207">
        <f>INDEX($A$87:$H$100,MATCH($L88,$B$87:$B$100,0),MATCH($BC$86,$A$87:$H$87,0))*고양시_Modal_split!K$3 * 0.01</f>
        <v>2.1960522614031635E-4</v>
      </c>
      <c r="BL88" s="207">
        <f>INDEX($A$87:$H$100,MATCH($L88,$B$87:$B$100,0),MATCH($BC$86,$A$87:$H$87,0))*고양시_Modal_split!L$3 * 0.01</f>
        <v>4.4213852196250359E-3</v>
      </c>
      <c r="BM88" s="207">
        <f>INDEX($A$87:$H$100,MATCH($L88,$B$87:$B$100,0),MATCH($BC$86,$A$87:$H$87,0))*고양시_Modal_split!M$3 * 0.01</f>
        <v>3.3672801341515175E-4</v>
      </c>
      <c r="BN88" s="207">
        <f>INDEX($A$87:$H$100,MATCH($L88,$B$87:$B$100,0),MATCH($BC$86,$A$87:$H$87,0))*고양시_Modal_split!N$3 * 0.01</f>
        <v>1.4640348409354422E-4</v>
      </c>
      <c r="BO88" s="207">
        <f>INDEX($A$87:$H$100,MATCH($L88,$B$87:$B$100,0),MATCH($BC$86,$A$87:$H$87,0))*고양시_Modal_split!O$3 * 0.01</f>
        <v>2.6352627136837963E-4</v>
      </c>
      <c r="BP88" s="207">
        <f>INDEX($A$87:$H$100,MATCH($L88,$B$87:$B$100,0),MATCH($BC$86,$A$87:$H$87,0))*고양시_Modal_split!P$3 * 0.01</f>
        <v>0.14640348409354423</v>
      </c>
      <c r="BQ88" s="207">
        <f>INDEX($A$87:$H$100,MATCH($L88,$B$87:$B$100,0),MATCH($BQ$86,$A$87:$H$87,0))*고양시_Modal_split!C$3 * 0.01</f>
        <v>1.5486235206339397E-3</v>
      </c>
      <c r="BR88" s="207">
        <f>INDEX($A$87:$H$100,MATCH($L88,$B$87:$B$100,0),MATCH($BQ$86,$A$87:$H$87,0))*고양시_Modal_split!D$3 * 0.01</f>
        <v>0.26011344348362214</v>
      </c>
      <c r="BS88" s="207">
        <f>INDEX($A$87:$H$100,MATCH($L88,$B$87:$B$100,0),MATCH($BQ$86,$A$87:$H$87,0))*고양시_Modal_split!E$3 * 0.01</f>
        <v>3.1470242258596848E-2</v>
      </c>
      <c r="BT88" s="207">
        <f>INDEX($A$87:$H$100,MATCH($L88,$B$87:$B$100,0),MATCH($BQ$86,$A$87:$H$87,0))*고양시_Modal_split!F$3 * 0.01</f>
        <v>5.071742030076154E-2</v>
      </c>
      <c r="BU88" s="207">
        <f>INDEX($A$87:$H$100,MATCH($L88,$B$87:$B$100,0),MATCH($BQ$86,$A$87:$H$87,0))*고양시_Modal_split!G$3 * 0.01</f>
        <v>5.0883344249400874E-3</v>
      </c>
      <c r="BV88" s="207">
        <f>INDEX($A$87:$H$100,MATCH($L88,$B$87:$B$100,0),MATCH($BQ$86,$A$87:$H$87,0))*고양시_Modal_split!H$3 * 0.01</f>
        <v>5.5307982879783575E-5</v>
      </c>
      <c r="BW88" s="207">
        <f>INDEX($A$87:$H$100,MATCH($L88,$B$87:$B$100,0),MATCH($BQ$86,$A$87:$H$87,0))*고양시_Modal_split!I$3 * 0.01</f>
        <v>1.5375619240579832E-2</v>
      </c>
      <c r="BX88" s="207">
        <f>INDEX($A$87:$H$100,MATCH($L88,$B$87:$B$100,0),MATCH($BQ$86,$A$87:$H$87,0))*고양시_Modal_split!J$3 * 0.01</f>
        <v>0.16835749988606119</v>
      </c>
      <c r="BY88" s="207">
        <f>INDEX($A$87:$H$100,MATCH($L88,$B$87:$B$100,0),MATCH($BQ$86,$A$87:$H$87,0))*고양시_Modal_split!K$3 * 0.01</f>
        <v>8.2961974319675346E-4</v>
      </c>
      <c r="BZ88" s="207">
        <f>INDEX($A$87:$H$100,MATCH($L88,$B$87:$B$100,0),MATCH($BQ$86,$A$87:$H$87,0))*고양시_Modal_split!L$3 * 0.01</f>
        <v>1.6703010829694637E-2</v>
      </c>
      <c r="CA88" s="207">
        <f>INDEX($A$87:$H$100,MATCH($L88,$B$87:$B$100,0),MATCH($BQ$86,$A$87:$H$87,0))*고양시_Modal_split!M$3 * 0.01</f>
        <v>1.2720836062350218E-3</v>
      </c>
      <c r="CB88" s="207">
        <f>INDEX($A$87:$H$100,MATCH($L88,$B$87:$B$100,0),MATCH($BQ$86,$A$87:$H$87,0))*고양시_Modal_split!N$3 * 0.01</f>
        <v>5.5307982879783575E-4</v>
      </c>
      <c r="CC88" s="207">
        <f>INDEX($A$87:$H$100,MATCH($L88,$B$87:$B$100,0),MATCH($BQ$86,$A$87:$H$87,0))*고양시_Modal_split!O$3 * 0.01</f>
        <v>9.9554369183610424E-4</v>
      </c>
      <c r="CD88" s="207">
        <f>INDEX($A$87:$H$100,MATCH($L88,$B$87:$B$100,0),MATCH($BQ$86,$A$87:$H$87,0))*고양시_Modal_split!P$3 * 0.01</f>
        <v>0.55307982879783568</v>
      </c>
      <c r="CE88" s="304">
        <f>M88+AA88+AO88+BC88+BQ88</f>
        <v>5.4381281359579017</v>
      </c>
      <c r="CF88" s="304">
        <f t="shared" ref="CF88:CF100" si="51">N88+AB88+AP88+BD88+BR88</f>
        <v>913.41130797892913</v>
      </c>
      <c r="CG88" s="304">
        <f t="shared" ref="CG88:CG100" si="52">O88+AC88+AQ88+BE88+BS88</f>
        <v>110.51053247714451</v>
      </c>
      <c r="CH88" s="304">
        <f t="shared" ref="CH88:CH100" si="53">P88+AD88+AR88+BF88+BT88</f>
        <v>178.09869645262131</v>
      </c>
      <c r="CI88" s="304">
        <f t="shared" ref="CI88:CI100" si="54">Q88+AE88+AS88+BG88+BU88</f>
        <v>17.868135303861678</v>
      </c>
      <c r="CJ88" s="304">
        <f t="shared" ref="CJ88:CJ100" si="55">R88+AF88+AT88+BH88+BV88</f>
        <v>0.19421886199849653</v>
      </c>
      <c r="CK88" s="304">
        <f t="shared" ref="CK88:CK100" si="56">S88+AG88+AU88+BI88+BW88</f>
        <v>53.992843635582027</v>
      </c>
      <c r="CL88" s="304">
        <f t="shared" ref="CL88:CL100" si="57">T88+AH88+AV88+BJ88+BX88</f>
        <v>591.20221592342341</v>
      </c>
      <c r="CM88" s="304">
        <f t="shared" ref="CM88:CM100" si="58">U88+AI88+AW88+BK88+BY88</f>
        <v>2.9132829299774476</v>
      </c>
      <c r="CN88" s="304">
        <f t="shared" ref="CN88:CN100" si="59">V88+AJ88+AX88+BL88+BZ88</f>
        <v>58.654096323545943</v>
      </c>
      <c r="CO88" s="304">
        <f t="shared" ref="CO88:CO100" si="60">W88+AK88+AY88+BM88+CA88</f>
        <v>4.4670338259654194</v>
      </c>
      <c r="CP88" s="304">
        <f t="shared" ref="CP88:CP100" si="61">X88+AL88+AZ88+BN88+CB88</f>
        <v>1.9421886199849652</v>
      </c>
      <c r="CQ88" s="304">
        <f t="shared" ref="CQ88:CQ100" si="62">Y88+AM88+BA88+BO88+CC88</f>
        <v>3.4959395159729367</v>
      </c>
      <c r="CR88" s="304">
        <f t="shared" ref="CR88:CR100" si="63">Z88+AN88+BB88+BP88+CD88</f>
        <v>1942.1886199849653</v>
      </c>
      <c r="CS88" s="305">
        <f>H88-CR88</f>
        <v>0</v>
      </c>
      <c r="CV88" s="265" t="s">
        <v>606</v>
      </c>
      <c r="CW88" s="265" t="s">
        <v>607</v>
      </c>
      <c r="CX88" s="267">
        <f>INDEX($M$86:$Z$100,MATCH($CW88,$L$86:$L$100,0),MATCH(CX$87,$M$87:$Z$87,0))/INDEX(고양시_재차인원!$D$4:$H$35,MATCH("고양시",고양시_재차인원!$B$4:$B$35,0),MATCH($CX$86,고양시_재차인원!$D$4:$H$4,0))</f>
        <v>94.222816161057793</v>
      </c>
      <c r="CY88" s="267">
        <f>INDEX($M$86:$Z$100,MATCH($CW88,$L$86:$L$100,0),MATCH(CY$87,$M$87:$Z$87,0))/INDEX(고양시_재차인원!$K$4:$O$20,MATCH("경기도",고양시_재차인원!$K$4:$K$20,0),MATCH($CY$87,고양시_재차인원!$K$4:$O$4,0))</f>
        <v>7.7939472022938328E-4</v>
      </c>
      <c r="CZ88" s="267">
        <f>INDEX($M$86:$Z$100,MATCH($CW88,$L$86:$L$100,0),MATCH(CZ$87,$M$87:$Z$87,0))/INDEX(고양시_재차인원!$K$4:$O$20,MATCH("경기도",고양시_재차인원!$K$4:$K$20,0),MATCH($CZ$87,고양시_재차인원!$K$4:$O$4,0))</f>
        <v>0.21667173222376854</v>
      </c>
      <c r="DA88" s="267">
        <f>INDEX($M$86:$Z$100,MATCH($CW88,$L$86:$L$100,0),MATCH(DA$87,$M$87:$Z$87,0))/INDEX(고양시_재차인원!$D$4:$H$35,MATCH("고양시",고양시_재차인원!$B$4:$B$35,0),MATCH($CX$86,고양시_재차인원!$D$4:$H$4,0))</f>
        <v>6.050455130903563</v>
      </c>
      <c r="DB88" s="267">
        <f>INDEX($AA$86:$AN$100,MATCH($CW88,$L$86:$L$100,0),MATCH(DB$87,$AA$87:$AN$87,0))/INDEX(고양시_재차인원!$D$4:$H$35,MATCH("고양시",고양시_재차인원!$B$4:$B$35,0),MATCH($DB$86,고양시_재차인원!$D$4:$H$4,0))</f>
        <v>541.65884570233652</v>
      </c>
      <c r="DC88" s="267">
        <f>INDEX($AA$86:$AN$100,MATCH($CW88,$L$86:$L$100,0),MATCH(DC$87,$AA$87:$AN$87,0))/INDEX(고양시_재차인원!$K$4:$O$20,MATCH("경기도",고양시_재차인원!$K$4:$K$20,0),MATCH(DC$87,고양시_재차인원!$K$4:$O$4,0))</f>
        <v>5.6406390401985947E-3</v>
      </c>
      <c r="DD88" s="267">
        <f>INDEX($AA$86:$AN$100,MATCH($CW88,$L$86:$L$100,0),MATCH(DD$87,$AA$87:$AN$87,0))/INDEX(고양시_재차인원!$K$4:$O$20,MATCH("경기도",고양시_재차인원!$K$4:$K$20,0),MATCH(DD$87,고양시_재차인원!$K$4:$O$4,0))</f>
        <v>1.5680976531752093</v>
      </c>
      <c r="DE88" s="267">
        <f>INDEX($AA$86:$AN$100,MATCH($CW88,$L$86:$L$100,0),MATCH(DE$87,$AA$87:$AN$87,0))/INDEX(고양시_재차인원!$D$4:$H$35,MATCH("고양시",고양시_재차인원!$B$4:$B$35,0),MATCH($DB$86,고양시_재차인원!$D$4:$H$4,0))</f>
        <v>34.78226055753894</v>
      </c>
      <c r="DF88" s="267">
        <f>INDEX($AO$86:$BB$100,MATCH($CW88,$L$86:$L$100,0),MATCH(DF$87,$AO$87:$BB$87,0))/INDEX(고양시_재차인원!$D$4:$H$35,MATCH("고양시",고양시_재차인원!$B$4:$B$35,0),MATCH($DF$86,고양시_재차인원!$D$4:$H$4,0))</f>
        <v>33.702934181690075</v>
      </c>
      <c r="DG88" s="267">
        <f>INDEX($AO$86:$BB$100,MATCH($CW88,$L$86:$L$100,0),MATCH(DG$87,$AO$87:$BB$87,0))/INDEX(고양시_재차인원!$K$4:$O$20,MATCH("경기도",고양시_재차인원!$K$4:$K$20,0),MATCH(DG$87,고양시_재차인원!$K$4:$O$4,0))</f>
        <v>3.2358949998214243E-4</v>
      </c>
      <c r="DH88" s="267">
        <f>INDEX($AO$86:$BB$100,MATCH($CW88,$L$86:$L$100,0),MATCH(DH$87,$AO$87:$BB$87,0))/INDEX(고양시_재차인원!$K$4:$O$20,MATCH("경기도",고양시_재차인원!$K$4:$K$20,0),MATCH(DH$87,고양시_재차인원!$K$4:$O$4,0))</f>
        <v>8.9957880995035586E-2</v>
      </c>
      <c r="DI88" s="267">
        <f>INDEX($AO$86:$BB$100,MATCH($CW88,$L$86:$L$100,0),MATCH(DI$87,$AO$87:$BB$87,0))/INDEX(고양시_재차인원!$D$4:$H$35,MATCH("고양시",고양시_재차인원!$B$4:$B$35,0),MATCH($DF$86,고양시_재차인원!$D$4:$H$4,0))</f>
        <v>2.1642113805805661</v>
      </c>
      <c r="DJ88" s="267">
        <f>INDEX($BC$86:$BP$100,MATCH($CW88,$L$86:$L$100,0),MATCH(DJ$87,$BC$87:$BP$87,0))/INDEX(고양시_재차인원!$D$4:$H$35,MATCH("고양시",고양시_재차인원!$B$4:$B$35,0),MATCH($DJ$86,고양시_재차인원!$D$4:$H$4,0))</f>
        <v>5.0627616594995477E-2</v>
      </c>
      <c r="DK88" s="267">
        <f>INDEX($BC$86:$BP$100,MATCH($CW88,$L$86:$L$100,0),MATCH(DK$87,$BC$87:$BP$87,0))/INDEX(고양시_재차인원!$K$4:$O$20,MATCH("경기도",고양시_재차인원!$K$4:$K$20,0),MATCH(DK$87,고양시_재차인원!$K$4:$O$4,0))</f>
        <v>5.0852200101960485E-7</v>
      </c>
      <c r="DL88" s="267">
        <f>INDEX($BC$86:$BP$100,MATCH($CW88,$L$86:$L$100,0),MATCH(DL$87,$BC$87:$BP$87,0))/INDEX(고양시_재차인원!$K$4:$O$20,MATCH("경기도",고양시_재차인원!$K$4:$K$20,0),MATCH(DL$87,고양시_재차인원!$K$4:$O$4,0))</f>
        <v>1.4136911628345015E-4</v>
      </c>
      <c r="DM88" s="267">
        <f>INDEX($BC$86:$BP$100,MATCH($CW88,$L$86:$L$100,0),MATCH(DM$87,$BC$87:$BP$87,0))/INDEX(고양시_재차인원!$D$4:$H$35,MATCH("고양시",고양시_재차인원!$B$4:$B$35,0),MATCH($DJ$86,고양시_재차인원!$D$4:$H$4,0))</f>
        <v>3.2510185438419381E-3</v>
      </c>
      <c r="DN88" s="267">
        <f>INDEX($BQ$86:$CD$100,MATCH($CW88,$L$86:$L$100,0),MATCH(DN$87,$BQ$87:$CD$87,0))/INDEX(고양시_재차인원!$D$4:$H$35,MATCH("고양시",고양시_재차인원!$B$4:$B$35,0),MATCH($DN$86,고양시_재차인원!$D$4:$H$4,0))</f>
        <v>0.20643924086001758</v>
      </c>
      <c r="DO88" s="267">
        <f>INDEX($BQ$86:$CD$100,MATCH($CW88,$L$86:$L$100,0),MATCH(DO$87,$BQ$87:$CD$87,0))/INDEX(고양시_재차인원!$K$4:$O$20,MATCH("경기도",고양시_재차인원!$K$4:$K$20,0),MATCH(DO$87,고양시_재차인원!$K$4:$O$4,0))</f>
        <v>1.9210831149629584E-6</v>
      </c>
      <c r="DP88" s="267">
        <f>INDEX($BQ$86:$CD$100,MATCH($CW88,$L$86:$L$100,0),MATCH(DP$87,$BQ$87:$CD$87,0))/INDEX(고양시_재차인원!$K$4:$O$20,MATCH("경기도",고양시_재차인원!$K$4:$K$20,0),MATCH(DP$87,고양시_재차인원!$K$4:$O$4,0))</f>
        <v>5.3406110595970245E-4</v>
      </c>
      <c r="DQ88" s="267">
        <f>INDEX($BQ$86:$CD$100,MATCH($CW88,$L$86:$L$100,0),MATCH(DQ$87,$BQ$87:$CD$87,0))/INDEX(고양시_재차인원!$D$4:$H$35,MATCH("고양시",고양시_재차인원!$B$4:$B$35,0),MATCH($DN$86,고양시_재차인원!$D$4:$H$4,0))</f>
        <v>1.325635780134495E-2</v>
      </c>
      <c r="DR88" s="270">
        <f>CX88+DB88+DF88+DJ88+DN88</f>
        <v>669.8416629025395</v>
      </c>
      <c r="DS88" s="270">
        <f t="shared" ref="DS88:DS100" si="64">CY88+DC88+DG88+DK88+DO88</f>
        <v>6.7460528655261028E-3</v>
      </c>
      <c r="DT88" s="270">
        <f t="shared" ref="DT88:DT100" si="65">CZ88+DD88+DH88+DL88+DP88</f>
        <v>1.8754026966162567</v>
      </c>
      <c r="DU88" s="270">
        <f t="shared" ref="DU88:DU100" si="66">DA88+DE88+DI88+DM88+DQ88</f>
        <v>43.013434445368262</v>
      </c>
      <c r="DW88" s="278" t="s">
        <v>606</v>
      </c>
      <c r="DX88" s="278" t="s">
        <v>607</v>
      </c>
      <c r="DY88" s="281">
        <f>DR88+DU88</f>
        <v>712.85509734790776</v>
      </c>
      <c r="DZ88" s="281">
        <f>DS88+DT88</f>
        <v>1.8821487494817828</v>
      </c>
      <c r="EB88" s="278" t="s">
        <v>637</v>
      </c>
      <c r="EC88" s="278" t="s">
        <v>607</v>
      </c>
      <c r="ED88" s="309">
        <f>DY88+DY$94*($EN90/SUM($EN$90:$EN$93))</f>
        <v>837.16264274602531</v>
      </c>
      <c r="EE88" s="309">
        <f t="shared" ref="EE88:EE91" si="67">DZ88+DZ$94*($EN90/SUM($EN$90:$EN$93))</f>
        <v>2.2103575144785639</v>
      </c>
      <c r="EF88" t="b">
        <f>SUM(ED88:EE91) = SUM(DY88:DZ91)+DY94+DZ94</f>
        <v>1</v>
      </c>
      <c r="EK88" s="420" t="s">
        <v>12</v>
      </c>
      <c r="EL88" s="420" t="s">
        <v>12</v>
      </c>
      <c r="EM88" s="420" t="s">
        <v>568</v>
      </c>
      <c r="EN88" s="420">
        <v>14267.0414</v>
      </c>
      <c r="EO88" s="420">
        <v>0.4735987268619668</v>
      </c>
      <c r="EP88" s="421">
        <v>849001</v>
      </c>
      <c r="EQ88" s="422">
        <f>VLOOKUP($EL88,$EC$88:$EE$99,2,FALSE)*$EO88 * $CW$9*(1-$DA$5)</f>
        <v>33.779880904366188</v>
      </c>
      <c r="ER88" s="422">
        <f>VLOOKUP($EL88,$EC$88:$EE$99,3,FALSE)*$EO88* $CW$9*(1-$DA$5)</f>
        <v>8.9188898050015425E-2</v>
      </c>
      <c r="ES88">
        <v>0</v>
      </c>
      <c r="EU88" s="306" t="s">
        <v>12</v>
      </c>
      <c r="EV88" s="306" t="s">
        <v>12</v>
      </c>
      <c r="EW88" s="306" t="s">
        <v>568</v>
      </c>
      <c r="EX88" s="306">
        <v>14267.0414</v>
      </c>
      <c r="EY88" s="306">
        <v>0.4735987268619668</v>
      </c>
      <c r="EZ88" s="307">
        <v>849001</v>
      </c>
      <c r="FA88" s="308">
        <f>EQ88*$EG$55</f>
        <v>33.779880904366188</v>
      </c>
      <c r="FB88" s="308">
        <f t="shared" ref="FB88:FB107" si="68">ER88*$EG$55</f>
        <v>8.9188898050015425E-2</v>
      </c>
      <c r="FD88" s="101"/>
      <c r="FE88" s="101"/>
      <c r="FF88" s="101"/>
      <c r="FG88" s="101"/>
      <c r="FH88" s="101"/>
      <c r="FI88" s="374"/>
      <c r="FJ88" s="404"/>
      <c r="FK88" s="404"/>
    </row>
    <row r="89" spans="1:167">
      <c r="A89" s="205" t="s">
        <v>606</v>
      </c>
      <c r="B89" s="205" t="s">
        <v>608</v>
      </c>
      <c r="C89" s="201">
        <f>$K30*KTDB_TripDistribution_2025!T$12</f>
        <v>223.05476546352406</v>
      </c>
      <c r="D89" s="201">
        <f>$K30*KTDB_TripDistribution_2025!U$12</f>
        <v>1614.2929705831257</v>
      </c>
      <c r="E89" s="201">
        <f>$K30*KTDB_TripDistribution_2025!V$12</f>
        <v>92.607992011715311</v>
      </c>
      <c r="F89" s="201">
        <f>$K30*KTDB_TripDistribution_2025!W$12</f>
        <v>0.14553377476958901</v>
      </c>
      <c r="G89" s="201">
        <f>$K30*KTDB_TripDistribution_2025!X$12</f>
        <v>0.54979426024067157</v>
      </c>
      <c r="H89" s="201">
        <f>$K30*KTDB_TripDistribution_2025!Y$12</f>
        <v>1930.6510560933757</v>
      </c>
      <c r="J89" s="230">
        <f t="shared" si="50"/>
        <v>1930.6510560933752</v>
      </c>
      <c r="K89" s="206" t="s">
        <v>606</v>
      </c>
      <c r="L89" s="206" t="s">
        <v>608</v>
      </c>
      <c r="M89" s="206">
        <f>INDEX($A$87:$H$100,MATCH($L89,$B$87:$B$100,0),MATCH($M$86,$A$87:$H$87,0))*고양시_Modal_split!C$3 * 0.01</f>
        <v>0.62455334329786727</v>
      </c>
      <c r="N89" s="206">
        <f>INDEX($A$87:$H$100,MATCH($L89,$B$87:$B$100,0),MATCH($M$86,$A$87:$H$87,0))*고양시_Modal_split!D$3 * 0.01</f>
        <v>104.90265619749536</v>
      </c>
      <c r="O89" s="206">
        <f>INDEX($A$87:$H$100,MATCH($L89,$B$87:$B$100,0),MATCH($M$86,$A$87:$H$87,0))*고양시_Modal_split!E$3 * 0.01</f>
        <v>12.691816154874518</v>
      </c>
      <c r="P89" s="206">
        <f>INDEX($A$87:$H$100,MATCH($L89,$B$87:$B$100,0),MATCH($M$86,$A$87:$H$87,0))*고양시_Modal_split!F$3 * 0.01</f>
        <v>20.454121993005156</v>
      </c>
      <c r="Q89" s="206">
        <f>INDEX($A$87:$H$100,MATCH($L89,$B$87:$B$100,0),MATCH($M$86,$A$87:$H$87,0))*고양시_Modal_split!G$3 * 0.01</f>
        <v>2.0521038422644216</v>
      </c>
      <c r="R89" s="206">
        <f>INDEX($A$87:$H$100,MATCH($L89,$B$87:$B$100,0),MATCH($M$86,$A$87:$H$87,0))*고양시_Modal_split!H$3 * 0.01</f>
        <v>2.2305476546352409E-2</v>
      </c>
      <c r="S89" s="206">
        <f>INDEX($A$87:$H$100,MATCH($L89,$B$87:$B$100,0),MATCH($M$86,$A$87:$H$87,0))*고양시_Modal_split!I$3 * 0.01</f>
        <v>6.2009224798859677</v>
      </c>
      <c r="T89" s="206">
        <f>INDEX($A$87:$H$100,MATCH($L89,$B$87:$B$100,0),MATCH($M$86,$A$87:$H$87,0))*고양시_Modal_split!J$3 * 0.01</f>
        <v>67.897870607096735</v>
      </c>
      <c r="U89" s="206">
        <f>INDEX($A$87:$H$100,MATCH($L89,$B$87:$B$100,0),MATCH($M$86,$A$87:$H$87,0))*고양시_Modal_split!K$3 * 0.01</f>
        <v>0.33458214819528609</v>
      </c>
      <c r="V89" s="206">
        <f>INDEX($A$87:$H$100,MATCH($L89,$B$87:$B$100,0),MATCH($M$86,$A$87:$H$87,0))*고양시_Modal_split!L$3 * 0.01</f>
        <v>6.736253916998427</v>
      </c>
      <c r="W89" s="206">
        <f>INDEX($A$87:$H$100,MATCH($L89,$B$87:$B$100,0),MATCH($M$86,$A$87:$H$87,0))*고양시_Modal_split!M$3 * 0.01</f>
        <v>0.51302596056610539</v>
      </c>
      <c r="X89" s="206">
        <f>INDEX($A$87:$H$100,MATCH($L89,$B$87:$B$100,0),MATCH($M$86,$A$87:$H$87,0))*고양시_Modal_split!N$3 * 0.01</f>
        <v>0.2230547654635241</v>
      </c>
      <c r="Y89" s="206">
        <f>INDEX($A$87:$H$100,MATCH($L89,$B$87:$B$100,0),MATCH($M$86,$A$87:$H$87,0))*고양시_Modal_split!O$3 * 0.01</f>
        <v>0.40149857783434328</v>
      </c>
      <c r="Z89" s="209">
        <f>INDEX($A$87:$H$100,MATCH($L89,$B$87:$B$100,0),MATCH($M$86,$A$87:$H$87,0))*고양시_Modal_split!P$3 * 0.01</f>
        <v>223.05476546352406</v>
      </c>
      <c r="AA89" s="207">
        <f>INDEX($A$87:$H$100,MATCH($L89,$B$87:$B$100,0),MATCH($AA$86,$A$87:$H$87,0))*고양시_Modal_split!C$3 * 0.01</f>
        <v>4.5200203176327518</v>
      </c>
      <c r="AB89" s="207">
        <f>INDEX($A$87:$H$100,MATCH($L89,$B$87:$B$100,0),MATCH($AA$86,$A$87:$H$87,0))*고양시_Modal_split!D$3 * 0.01</f>
        <v>759.20198406524401</v>
      </c>
      <c r="AC89" s="207">
        <f>INDEX($A$87:$H$100,MATCH($L89,$B$87:$B$100,0),MATCH($AA$86,$A$87:$H$87,0))*고양시_Modal_split!E$3 * 0.01</f>
        <v>91.853270026179842</v>
      </c>
      <c r="AD89" s="207">
        <f>INDEX($A$87:$H$100,MATCH($L89,$B$87:$B$100,0),MATCH($AA$86,$A$87:$H$87,0))*고양시_Modal_split!F$3 * 0.01</f>
        <v>148.03066540247264</v>
      </c>
      <c r="AE89" s="207">
        <f>INDEX($A$87:$H$100,MATCH($L89,$B$87:$B$100,0),MATCH($AA$86,$A$87:$H$87,0))*고양시_Modal_split!G$3 * 0.01</f>
        <v>14.851495329364754</v>
      </c>
      <c r="AF89" s="207">
        <f>INDEX($A$87:$H$100,MATCH($L89,$B$87:$B$100,0),MATCH($AA$86,$A$87:$H$87,0))*고양시_Modal_split!H$3 * 0.01</f>
        <v>0.16142929705831258</v>
      </c>
      <c r="AG89" s="207">
        <f>INDEX($A$87:$H$100,MATCH($L89,$B$87:$B$100,0),MATCH($AA$86,$A$87:$H$87,0))*고양시_Modal_split!I$3 * 0.01</f>
        <v>44.877344582210888</v>
      </c>
      <c r="AH89" s="207">
        <f>INDEX($A$87:$H$100,MATCH($L89,$B$87:$B$100,0),MATCH($AA$86,$A$87:$H$87,0))*고양시_Modal_split!J$3 * 0.01</f>
        <v>491.39078024550349</v>
      </c>
      <c r="AI89" s="207">
        <f>INDEX($A$87:$H$100,MATCH($L89,$B$87:$B$100,0),MATCH($AA$86,$A$87:$H$87,0))*고양시_Modal_split!K$3 * 0.01</f>
        <v>2.4214394558746886</v>
      </c>
      <c r="AJ89" s="207">
        <f>INDEX($A$87:$H$100,MATCH($L89,$B$87:$B$100,0),MATCH($AA$86,$A$87:$H$87,0))*고양시_Modal_split!L$3 * 0.01</f>
        <v>48.751647711610396</v>
      </c>
      <c r="AK89" s="207">
        <f>INDEX($A$87:$H$100,MATCH($L89,$B$87:$B$100,0),MATCH($AA$86,$A$87:$H$87,0))*고양시_Modal_split!M$3 * 0.01</f>
        <v>3.7128738323411885</v>
      </c>
      <c r="AL89" s="207">
        <f>INDEX($A$87:$H$100,MATCH($L89,$B$87:$B$100,0),MATCH($AA$86,$A$87:$H$87,0))*고양시_Modal_split!N$3 * 0.01</f>
        <v>1.6142929705831259</v>
      </c>
      <c r="AM89" s="207">
        <f>INDEX($A$87:$H$100,MATCH($L89,$B$87:$B$100,0),MATCH($AA$86,$A$87:$H$87,0))*고양시_Modal_split!O$3 * 0.01</f>
        <v>2.9057273470496261</v>
      </c>
      <c r="AN89" s="207">
        <f>INDEX($A$87:$H$100,MATCH($L89,$B$87:$B$100,0),MATCH($AA$86,$A$87:$H$87,0))*고양시_Modal_split!P$3 * 0.01</f>
        <v>1614.2929705831257</v>
      </c>
      <c r="AO89" s="303">
        <f>INDEX($A$87:$H$100,MATCH($L89,$B$87:$B$100,0),MATCH($AO$86,$A$87:$H$87,0))*고양시_Modal_split!C$3 * 0.01</f>
        <v>0.25930237763280284</v>
      </c>
      <c r="AP89" s="303">
        <f>INDEX($A$87:$H$100,MATCH($L89,$B$87:$B$100,0),MATCH($AO$86,$A$87:$H$87,0))*고양시_Modal_split!D$3 * 0.01</f>
        <v>43.553538643109718</v>
      </c>
      <c r="AQ89" s="303">
        <f>INDEX($A$87:$H$100,MATCH($L89,$B$87:$B$100,0),MATCH($AO$86,$A$87:$H$87,0))*고양시_Modal_split!E$3 * 0.01</f>
        <v>5.2693947454666015</v>
      </c>
      <c r="AR89" s="303">
        <f>INDEX($A$87:$H$100,MATCH($L89,$B$87:$B$100,0),MATCH($AO$86,$A$87:$H$87,0))*고양시_Modal_split!F$3 * 0.01</f>
        <v>8.4921528674742941</v>
      </c>
      <c r="AS89" s="303">
        <f>INDEX($A$87:$H$100,MATCH($L89,$B$87:$B$100,0),MATCH($AO$86,$A$87:$H$87,0))*고양시_Modal_split!G$3 * 0.01</f>
        <v>0.85199352650778082</v>
      </c>
      <c r="AT89" s="303">
        <f>INDEX($A$87:$H$100,MATCH($L89,$B$87:$B$100,0),MATCH($AO$86,$A$87:$H$87,0))*고양시_Modal_split!H$3 * 0.01</f>
        <v>9.2607992011715309E-3</v>
      </c>
      <c r="AU89" s="303">
        <f>INDEX($A$87:$H$100,MATCH($L89,$B$87:$B$100,0),MATCH($AO$86,$A$87:$H$87,0))*고양시_Modal_split!I$3 * 0.01</f>
        <v>2.5745021779256856</v>
      </c>
      <c r="AV89" s="303">
        <f>INDEX($A$87:$H$100,MATCH($L89,$B$87:$B$100,0),MATCH($AO$86,$A$87:$H$87,0))*고양시_Modal_split!J$3 * 0.01</f>
        <v>28.18987276836614</v>
      </c>
      <c r="AW89" s="303">
        <f>INDEX($A$87:$H$100,MATCH($L89,$B$87:$B$100,0),MATCH($AO$86,$A$87:$H$87,0))*고양시_Modal_split!K$3 * 0.01</f>
        <v>0.13891198801757296</v>
      </c>
      <c r="AX89" s="303">
        <f>INDEX($A$87:$H$100,MATCH($L89,$B$87:$B$100,0),MATCH($AO$86,$A$87:$H$87,0))*고양시_Modal_split!L$3 * 0.01</f>
        <v>2.7967613587538023</v>
      </c>
      <c r="AY89" s="303">
        <f>INDEX($A$87:$H$100,MATCH($L89,$B$87:$B$100,0),MATCH($AO$86,$A$87:$H$87,0))*고양시_Modal_split!M$3 * 0.01</f>
        <v>0.2129983816269452</v>
      </c>
      <c r="AZ89" s="303">
        <f>INDEX($A$87:$H$100,MATCH($L89,$B$87:$B$100,0),MATCH($AO$86,$A$87:$H$87,0))*고양시_Modal_split!N$3 * 0.01</f>
        <v>9.2607992011715309E-2</v>
      </c>
      <c r="BA89" s="207">
        <f>INDEX($A$87:$H$100,MATCH($L89,$B$87:$B$100,0),MATCH($AO$86,$A$87:$H$87,0))*고양시_Modal_split!O$3 * 0.01</f>
        <v>0.16669438562108757</v>
      </c>
      <c r="BB89" s="207">
        <f>INDEX($A$87:$H$100,MATCH($L89,$B$87:$B$100,0),MATCH($AO$86,$A$87:$H$87,0))*고양시_Modal_split!P$3 * 0.01</f>
        <v>92.607992011715311</v>
      </c>
      <c r="BC89" s="207">
        <f>INDEX($A$87:$H$100,MATCH($L89,$B$87:$B$100,0),MATCH($BC$86,$A$87:$H$87,0))*고양시_Modal_split!C$3 * 0.01</f>
        <v>4.0749456935484918E-4</v>
      </c>
      <c r="BD89" s="207">
        <f>INDEX($A$87:$H$100,MATCH($L89,$B$87:$B$100,0),MATCH($BC$86,$A$87:$H$87,0))*고양시_Modal_split!D$3 * 0.01</f>
        <v>6.8444534274137714E-2</v>
      </c>
      <c r="BE89" s="207">
        <f>INDEX($A$87:$H$100,MATCH($L89,$B$87:$B$100,0),MATCH($BC$86,$A$87:$H$87,0))*고양시_Modal_split!E$3 * 0.01</f>
        <v>8.2808717843896144E-3</v>
      </c>
      <c r="BF89" s="207">
        <f>INDEX($A$87:$H$100,MATCH($L89,$B$87:$B$100,0),MATCH($BC$86,$A$87:$H$87,0))*고양시_Modal_split!F$3 * 0.01</f>
        <v>1.3345447146371313E-2</v>
      </c>
      <c r="BG89" s="207">
        <f>INDEX($A$87:$H$100,MATCH($L89,$B$87:$B$100,0),MATCH($BC$86,$A$87:$H$87,0))*고양시_Modal_split!G$3 * 0.01</f>
        <v>1.3389107278802188E-3</v>
      </c>
      <c r="BH89" s="207">
        <f>INDEX($A$87:$H$100,MATCH($L89,$B$87:$B$100,0),MATCH($BC$86,$A$87:$H$87,0))*고양시_Modal_split!H$3 * 0.01</f>
        <v>1.4553377476958902E-5</v>
      </c>
      <c r="BI89" s="207">
        <f>INDEX($A$87:$H$100,MATCH($L89,$B$87:$B$100,0),MATCH($BC$86,$A$87:$H$87,0))*고양시_Modal_split!I$3 * 0.01</f>
        <v>4.045838938594574E-3</v>
      </c>
      <c r="BJ89" s="207">
        <f>INDEX($A$87:$H$100,MATCH($L89,$B$87:$B$100,0),MATCH($BC$86,$A$87:$H$87,0))*고양시_Modal_split!J$3 * 0.01</f>
        <v>4.43004810398629E-2</v>
      </c>
      <c r="BK89" s="207">
        <f>INDEX($A$87:$H$100,MATCH($L89,$B$87:$B$100,0),MATCH($BC$86,$A$87:$H$87,0))*고양시_Modal_split!K$3 * 0.01</f>
        <v>2.1830066215438351E-4</v>
      </c>
      <c r="BL89" s="207">
        <f>INDEX($A$87:$H$100,MATCH($L89,$B$87:$B$100,0),MATCH($BC$86,$A$87:$H$87,0))*고양시_Modal_split!L$3 * 0.01</f>
        <v>4.395119998041588E-3</v>
      </c>
      <c r="BM89" s="207">
        <f>INDEX($A$87:$H$100,MATCH($L89,$B$87:$B$100,0),MATCH($BC$86,$A$87:$H$87,0))*고양시_Modal_split!M$3 * 0.01</f>
        <v>3.347276819700547E-4</v>
      </c>
      <c r="BN89" s="207">
        <f>INDEX($A$87:$H$100,MATCH($L89,$B$87:$B$100,0),MATCH($BC$86,$A$87:$H$87,0))*고양시_Modal_split!N$3 * 0.01</f>
        <v>1.4553377476958902E-4</v>
      </c>
      <c r="BO89" s="207">
        <f>INDEX($A$87:$H$100,MATCH($L89,$B$87:$B$100,0),MATCH($BC$86,$A$87:$H$87,0))*고양시_Modal_split!O$3 * 0.01</f>
        <v>2.6196079458526021E-4</v>
      </c>
      <c r="BP89" s="207">
        <f>INDEX($A$87:$H$100,MATCH($L89,$B$87:$B$100,0),MATCH($BC$86,$A$87:$H$87,0))*고양시_Modal_split!P$3 * 0.01</f>
        <v>0.14553377476958901</v>
      </c>
      <c r="BQ89" s="207">
        <f>INDEX($A$87:$H$100,MATCH($L89,$B$87:$B$100,0),MATCH($BQ$86,$A$87:$H$87,0))*고양시_Modal_split!C$3 * 0.01</f>
        <v>1.5394239286738805E-3</v>
      </c>
      <c r="BR89" s="207">
        <f>INDEX($A$87:$H$100,MATCH($L89,$B$87:$B$100,0),MATCH($BQ$86,$A$87:$H$87,0))*고양시_Modal_split!D$3 * 0.01</f>
        <v>0.25856824059118788</v>
      </c>
      <c r="BS89" s="207">
        <f>INDEX($A$87:$H$100,MATCH($L89,$B$87:$B$100,0),MATCH($BQ$86,$A$87:$H$87,0))*고양시_Modal_split!E$3 * 0.01</f>
        <v>3.1283293407694208E-2</v>
      </c>
      <c r="BT89" s="207">
        <f>INDEX($A$87:$H$100,MATCH($L89,$B$87:$B$100,0),MATCH($BQ$86,$A$87:$H$87,0))*고양시_Modal_split!F$3 * 0.01</f>
        <v>5.0416133664069579E-2</v>
      </c>
      <c r="BU89" s="207">
        <f>INDEX($A$87:$H$100,MATCH($L89,$B$87:$B$100,0),MATCH($BQ$86,$A$87:$H$87,0))*고양시_Modal_split!G$3 * 0.01</f>
        <v>5.0581071942141778E-3</v>
      </c>
      <c r="BV89" s="207">
        <f>INDEX($A$87:$H$100,MATCH($L89,$B$87:$B$100,0),MATCH($BQ$86,$A$87:$H$87,0))*고양시_Modal_split!H$3 * 0.01</f>
        <v>5.4979426024067162E-5</v>
      </c>
      <c r="BW89" s="207">
        <f>INDEX($A$87:$H$100,MATCH($L89,$B$87:$B$100,0),MATCH($BQ$86,$A$87:$H$87,0))*고양시_Modal_split!I$3 * 0.01</f>
        <v>1.528428043469067E-2</v>
      </c>
      <c r="BX89" s="207">
        <f>INDEX($A$87:$H$100,MATCH($L89,$B$87:$B$100,0),MATCH($BQ$86,$A$87:$H$87,0))*고양시_Modal_split!J$3 * 0.01</f>
        <v>0.16735737281726043</v>
      </c>
      <c r="BY89" s="207">
        <f>INDEX($A$87:$H$100,MATCH($L89,$B$87:$B$100,0),MATCH($BQ$86,$A$87:$H$87,0))*고양시_Modal_split!K$3 * 0.01</f>
        <v>8.2469139036100731E-4</v>
      </c>
      <c r="BZ89" s="207">
        <f>INDEX($A$87:$H$100,MATCH($L89,$B$87:$B$100,0),MATCH($BQ$86,$A$87:$H$87,0))*고양시_Modal_split!L$3 * 0.01</f>
        <v>1.6603786659268281E-2</v>
      </c>
      <c r="CA89" s="207">
        <f>INDEX($A$87:$H$100,MATCH($L89,$B$87:$B$100,0),MATCH($BQ$86,$A$87:$H$87,0))*고양시_Modal_split!M$3 * 0.01</f>
        <v>1.2645267985535444E-3</v>
      </c>
      <c r="CB89" s="207">
        <f>INDEX($A$87:$H$100,MATCH($L89,$B$87:$B$100,0),MATCH($BQ$86,$A$87:$H$87,0))*고양시_Modal_split!N$3 * 0.01</f>
        <v>5.4979426024067161E-4</v>
      </c>
      <c r="CC89" s="207">
        <f>INDEX($A$87:$H$100,MATCH($L89,$B$87:$B$100,0),MATCH($BQ$86,$A$87:$H$87,0))*고양시_Modal_split!O$3 * 0.01</f>
        <v>9.8962966843320886E-4</v>
      </c>
      <c r="CD89" s="207">
        <f>INDEX($A$87:$H$100,MATCH($L89,$B$87:$B$100,0),MATCH($BQ$86,$A$87:$H$87,0))*고양시_Modal_split!P$3 * 0.01</f>
        <v>0.54979426024067157</v>
      </c>
      <c r="CE89" s="304">
        <f t="shared" ref="CE89:CE100" si="69">M89+AA89+AO89+BC89+BQ89</f>
        <v>5.4058229570614502</v>
      </c>
      <c r="CF89" s="304">
        <f t="shared" si="51"/>
        <v>907.98519168071448</v>
      </c>
      <c r="CG89" s="304">
        <f t="shared" si="52"/>
        <v>109.85404509171305</v>
      </c>
      <c r="CH89" s="304">
        <f t="shared" si="53"/>
        <v>177.04070184376252</v>
      </c>
      <c r="CI89" s="304">
        <f t="shared" si="54"/>
        <v>17.761989716059048</v>
      </c>
      <c r="CJ89" s="304">
        <f t="shared" si="55"/>
        <v>0.19306510560933754</v>
      </c>
      <c r="CK89" s="304">
        <f t="shared" si="56"/>
        <v>53.67209935939583</v>
      </c>
      <c r="CL89" s="304">
        <f t="shared" si="57"/>
        <v>587.69018147482348</v>
      </c>
      <c r="CM89" s="304">
        <f t="shared" si="58"/>
        <v>2.8959765841400631</v>
      </c>
      <c r="CN89" s="304">
        <f t="shared" si="59"/>
        <v>58.305661894019941</v>
      </c>
      <c r="CO89" s="304">
        <f t="shared" si="60"/>
        <v>4.4404974290147621</v>
      </c>
      <c r="CP89" s="304">
        <f t="shared" si="61"/>
        <v>1.9306510560933756</v>
      </c>
      <c r="CQ89" s="304">
        <f t="shared" si="62"/>
        <v>3.4751719009680753</v>
      </c>
      <c r="CR89" s="304">
        <f t="shared" si="63"/>
        <v>1930.6510560933752</v>
      </c>
      <c r="CS89" s="305">
        <f t="shared" ref="CS89:CS100" si="70">H89-CR89</f>
        <v>0</v>
      </c>
      <c r="CV89" s="265" t="s">
        <v>606</v>
      </c>
      <c r="CW89" s="265" t="s">
        <v>608</v>
      </c>
      <c r="CX89" s="267">
        <f>INDEX($M$86:$Z$100,MATCH($CW89,$L$86:$L$100,0),MATCH(CX$87,$M$87:$Z$87,0))/INDEX(고양시_재차인원!$D$4:$H$35,MATCH("고양시",고양시_재차인원!$B$4:$B$35,0),MATCH($CX$86,고양시_재차인원!$D$4:$H$4,0))</f>
        <v>93.663085890620849</v>
      </c>
      <c r="CY89" s="267">
        <f>INDEX($M$86:$Z$100,MATCH($CW89,$L$86:$L$100,0),MATCH(CY$87,$M$87:$Z$87,0))/INDEX(고양시_재차인원!$K$4:$O$20,MATCH("경기도",고양시_재차인원!$K$4:$K$20,0),MATCH($CY$87,고양시_재차인원!$K$4:$O$4,0))</f>
        <v>7.7476472894589816E-4</v>
      </c>
      <c r="CZ89" s="267">
        <f>INDEX($M$86:$Z$100,MATCH($CW89,$L$86:$L$100,0),MATCH(CZ$87,$M$87:$Z$87,0))/INDEX(고양시_재차인원!$K$4:$O$20,MATCH("경기도",고양시_재차인원!$K$4:$K$20,0),MATCH($CZ$87,고양시_재차인원!$K$4:$O$4,0))</f>
        <v>0.21538459464695964</v>
      </c>
      <c r="DA89" s="267">
        <f>INDEX($M$86:$Z$100,MATCH($CW89,$L$86:$L$100,0),MATCH(DA$87,$M$87:$Z$87,0))/INDEX(고양시_재차인원!$D$4:$H$35,MATCH("고양시",고양시_재차인원!$B$4:$B$35,0),MATCH($CX$86,고양시_재차인원!$D$4:$H$4,0))</f>
        <v>6.0145124258914517</v>
      </c>
      <c r="DB89" s="267">
        <f>INDEX($AA$86:$AN$100,MATCH($CW89,$L$86:$L$100,0),MATCH(DB$87,$AA$87:$AN$87,0))/INDEX(고양시_재차인원!$D$4:$H$35,MATCH("고양시",고양시_재차인원!$B$4:$B$35,0),MATCH($DB$86,고양시_재차인원!$D$4:$H$4,0))</f>
        <v>538.4411234505277</v>
      </c>
      <c r="DC89" s="267">
        <f>INDEX($AA$86:$AN$100,MATCH($CW89,$L$86:$L$100,0),MATCH(DC$87,$AA$87:$AN$87,0))/INDEX(고양시_재차인원!$K$4:$O$20,MATCH("경기도",고양시_재차인원!$K$4:$K$20,0),MATCH(DC$87,고양시_재차인원!$K$4:$O$4,0))</f>
        <v>5.6071308460685166E-3</v>
      </c>
      <c r="DD89" s="267">
        <f>INDEX($AA$86:$AN$100,MATCH($CW89,$L$86:$L$100,0),MATCH(DD$87,$AA$87:$AN$87,0))/INDEX(고양시_재차인원!$K$4:$O$20,MATCH("경기도",고양시_재차인원!$K$4:$K$20,0),MATCH(DD$87,고양시_재차인원!$K$4:$O$4,0))</f>
        <v>1.5587823752070473</v>
      </c>
      <c r="DE89" s="267">
        <f>INDEX($AA$86:$AN$100,MATCH($CW89,$L$86:$L$100,0),MATCH(DE$87,$AA$87:$AN$87,0))/INDEX(고양시_재차인원!$D$4:$H$35,MATCH("고양시",고양시_재차인원!$B$4:$B$35,0),MATCH($DB$86,고양시_재차인원!$D$4:$H$4,0))</f>
        <v>34.575636674900991</v>
      </c>
      <c r="DF89" s="267">
        <f>INDEX($AO$86:$BB$100,MATCH($CW89,$L$86:$L$100,0),MATCH(DF$87,$AO$87:$BB$87,0))/INDEX(고양시_재차인원!$D$4:$H$35,MATCH("고양시",고양시_재차인원!$B$4:$B$35,0),MATCH($DF$86,고양시_재차인원!$D$4:$H$4,0))</f>
        <v>33.502722033161319</v>
      </c>
      <c r="DG89" s="267">
        <f>INDEX($AO$86:$BB$100,MATCH($CW89,$L$86:$L$100,0),MATCH(DG$87,$AO$87:$BB$87,0))/INDEX(고양시_재차인원!$K$4:$O$20,MATCH("경기도",고양시_재차인원!$K$4:$K$20,0),MATCH(DG$87,고양시_재차인원!$K$4:$O$4,0))</f>
        <v>3.2166721782464508E-4</v>
      </c>
      <c r="DH89" s="267">
        <f>INDEX($AO$86:$BB$100,MATCH($CW89,$L$86:$L$100,0),MATCH(DH$87,$AO$87:$BB$87,0))/INDEX(고양시_재차인원!$K$4:$O$20,MATCH("경기도",고양시_재차인원!$K$4:$K$20,0),MATCH(DH$87,고양시_재차인원!$K$4:$O$4,0))</f>
        <v>8.9423486555251328E-2</v>
      </c>
      <c r="DI89" s="267">
        <f>INDEX($AO$86:$BB$100,MATCH($CW89,$L$86:$L$100,0),MATCH(DI$87,$AO$87:$BB$87,0))/INDEX(고양시_재차인원!$D$4:$H$35,MATCH("고양시",고양시_재차인원!$B$4:$B$35,0),MATCH($DF$86,고양시_재차인원!$D$4:$H$4,0))</f>
        <v>2.1513548913490785</v>
      </c>
      <c r="DJ89" s="267">
        <f>INDEX($BC$86:$BP$100,MATCH($CW89,$L$86:$L$100,0),MATCH(DJ$87,$BC$87:$BP$87,0))/INDEX(고양시_재차인원!$D$4:$H$35,MATCH("고양시",고양시_재차인원!$B$4:$B$35,0),MATCH($DJ$86,고양시_재차인원!$D$4:$H$4,0))</f>
        <v>5.032686343686596E-2</v>
      </c>
      <c r="DK89" s="267">
        <f>INDEX($BC$86:$BP$100,MATCH($CW89,$L$86:$L$100,0),MATCH(DK$87,$BC$87:$BP$87,0))/INDEX(고양시_재차인원!$K$4:$O$20,MATCH("경기도",고양시_재차인원!$K$4:$K$20,0),MATCH(DK$87,고양시_재차인원!$K$4:$O$4,0))</f>
        <v>5.0550112806387299E-7</v>
      </c>
      <c r="DL89" s="267">
        <f>INDEX($BC$86:$BP$100,MATCH($CW89,$L$86:$L$100,0),MATCH(DL$87,$BC$87:$BP$87,0))/INDEX(고양시_재차인원!$K$4:$O$20,MATCH("경기도",고양시_재차인원!$K$4:$K$20,0),MATCH(DL$87,고양시_재차인원!$K$4:$O$4,0))</f>
        <v>1.4052931360175665E-4</v>
      </c>
      <c r="DM89" s="267">
        <f>INDEX($BC$86:$BP$100,MATCH($CW89,$L$86:$L$100,0),MATCH(DM$87,$BC$87:$BP$87,0))/INDEX(고양시_재차인원!$D$4:$H$35,MATCH("고양시",고양시_재차인원!$B$4:$B$35,0),MATCH($DJ$86,고양시_재차인원!$D$4:$H$4,0))</f>
        <v>3.2317058809129321E-3</v>
      </c>
      <c r="DN89" s="267">
        <f>INDEX($BQ$86:$CD$100,MATCH($CW89,$L$86:$L$100,0),MATCH(DN$87,$BQ$87:$CD$87,0))/INDEX(고양시_재차인원!$D$4:$H$35,MATCH("고양시",고양시_재차인원!$B$4:$B$35,0),MATCH($DN$86,고양시_재차인원!$D$4:$H$4,0))</f>
        <v>0.20521288935808563</v>
      </c>
      <c r="DO89" s="267">
        <f>INDEX($BQ$86:$CD$100,MATCH($CW89,$L$86:$L$100,0),MATCH(DO$87,$BQ$87:$CD$87,0))/INDEX(고양시_재차인원!$K$4:$O$20,MATCH("경기도",고양시_재차인원!$K$4:$K$20,0),MATCH(DO$87,고양시_재차인원!$K$4:$O$4,0))</f>
        <v>1.9096709282413046E-6</v>
      </c>
      <c r="DP89" s="267">
        <f>INDEX($BQ$86:$CD$100,MATCH($CW89,$L$86:$L$100,0),MATCH(DP$87,$BQ$87:$CD$87,0))/INDEX(고양시_재차인원!$K$4:$O$20,MATCH("경기도",고양시_재차인원!$K$4:$K$20,0),MATCH(DP$87,고양시_재차인원!$K$4:$O$4,0))</f>
        <v>5.3088851805108269E-4</v>
      </c>
      <c r="DQ89" s="267">
        <f>INDEX($BQ$86:$CD$100,MATCH($CW89,$L$86:$L$100,0),MATCH(DQ$87,$BQ$87:$CD$87,0))/INDEX(고양시_재차인원!$D$4:$H$35,MATCH("고양시",고양시_재차인원!$B$4:$B$35,0),MATCH($DN$86,고양시_재차인원!$D$4:$H$4,0))</f>
        <v>1.3177608459736732E-2</v>
      </c>
      <c r="DR89" s="270">
        <f t="shared" ref="DR89:DR100" si="71">CX89+DB89+DF89+DJ89+DN89</f>
        <v>665.86247112710487</v>
      </c>
      <c r="DS89" s="270">
        <f t="shared" si="64"/>
        <v>6.7059779648953651E-3</v>
      </c>
      <c r="DT89" s="270">
        <f t="shared" si="65"/>
        <v>1.8642618742409112</v>
      </c>
      <c r="DU89" s="270">
        <f t="shared" si="66"/>
        <v>42.757913306482173</v>
      </c>
      <c r="DW89" s="278" t="s">
        <v>606</v>
      </c>
      <c r="DX89" s="278" t="s">
        <v>608</v>
      </c>
      <c r="DY89" s="281">
        <f t="shared" ref="DY89:DY100" si="72">DR89+DU89</f>
        <v>708.62038443358699</v>
      </c>
      <c r="DZ89" s="281">
        <f t="shared" ref="DZ89:DZ100" si="73">DS89+DT89</f>
        <v>1.8709678522058066</v>
      </c>
      <c r="EB89" s="278" t="s">
        <v>623</v>
      </c>
      <c r="EC89" s="278" t="s">
        <v>608</v>
      </c>
      <c r="ED89" s="309">
        <f t="shared" ref="ED89:ED91" si="74">DY89+DY$94*($EN91/SUM($EN$90:$EN$93))</f>
        <v>832.12610555078356</v>
      </c>
      <c r="EE89" s="309">
        <f t="shared" si="67"/>
        <v>2.1970595634377283</v>
      </c>
      <c r="EK89" s="420" t="s">
        <v>12</v>
      </c>
      <c r="EL89" s="420" t="s">
        <v>12</v>
      </c>
      <c r="EM89" s="420" t="s">
        <v>611</v>
      </c>
      <c r="EN89" s="420">
        <v>15857.7047</v>
      </c>
      <c r="EO89" s="420">
        <v>0.5264012731380332</v>
      </c>
      <c r="EP89" s="421">
        <v>849002</v>
      </c>
      <c r="EQ89" s="422">
        <f t="shared" ref="EQ89:EQ107" si="75">VLOOKUP($EL89,$EC$88:$EE$99,2,FALSE)*$EO89 * $CW$9*(1-$DA$5)</f>
        <v>37.54607287973581</v>
      </c>
      <c r="ER89" s="422">
        <f t="shared" ref="ER89:ER107" si="76">VLOOKUP($EL89,$EC$88:$EE$99,3,FALSE)*$EO89* $CW$9*(1-$DA$5)</f>
        <v>9.9132761176087311E-2</v>
      </c>
      <c r="ES89">
        <v>0</v>
      </c>
      <c r="EU89" s="306" t="s">
        <v>12</v>
      </c>
      <c r="EV89" s="306" t="s">
        <v>12</v>
      </c>
      <c r="EW89" s="306" t="s">
        <v>611</v>
      </c>
      <c r="EX89" s="306">
        <v>15857.7047</v>
      </c>
      <c r="EY89" s="306">
        <v>0.5264012731380332</v>
      </c>
      <c r="EZ89" s="307">
        <v>849002</v>
      </c>
      <c r="FA89" s="308">
        <f t="shared" ref="FA89:FA107" si="77">EQ89*$EG$55</f>
        <v>37.54607287973581</v>
      </c>
      <c r="FB89" s="308">
        <f t="shared" si="68"/>
        <v>9.9132761176087311E-2</v>
      </c>
      <c r="FD89" s="101"/>
      <c r="FE89" s="101"/>
      <c r="FF89" s="101"/>
      <c r="FG89" s="101"/>
      <c r="FH89" s="101"/>
      <c r="FI89" s="374"/>
      <c r="FJ89" s="404"/>
      <c r="FK89" s="404"/>
    </row>
    <row r="90" spans="1:167">
      <c r="A90" s="205" t="s">
        <v>606</v>
      </c>
      <c r="B90" s="205" t="s">
        <v>609</v>
      </c>
      <c r="C90" s="201">
        <f>$K31*KTDB_TripDistribution_2025!T$12</f>
        <v>182.78523125820709</v>
      </c>
      <c r="D90" s="201">
        <f>$K31*KTDB_TripDistribution_2025!U$12</f>
        <v>1322.8541131293921</v>
      </c>
      <c r="E90" s="201">
        <f>$K31*KTDB_TripDistribution_2025!V$12</f>
        <v>75.888866131343406</v>
      </c>
      <c r="F90" s="201">
        <f>$K31*KTDB_TripDistribution_2025!W$12</f>
        <v>0.11925961152123089</v>
      </c>
      <c r="G90" s="201">
        <f>$K31*KTDB_TripDistribution_2025!X$12</f>
        <v>0.45053631019131835</v>
      </c>
      <c r="H90" s="201">
        <f>$K31*KTDB_TripDistribution_2025!Y$12</f>
        <v>1582.0980064406556</v>
      </c>
      <c r="J90" s="230">
        <f t="shared" si="50"/>
        <v>1582.0980064406556</v>
      </c>
      <c r="K90" s="206" t="s">
        <v>606</v>
      </c>
      <c r="L90" s="206" t="s">
        <v>609</v>
      </c>
      <c r="M90" s="206">
        <f>INDEX($A$87:$H$100,MATCH($L90,$B$87:$B$100,0),MATCH($M$86,$A$87:$H$87,0))*고양시_Modal_split!C$3 * 0.01</f>
        <v>0.51179864752297977</v>
      </c>
      <c r="N90" s="206">
        <f>INDEX($A$87:$H$100,MATCH($L90,$B$87:$B$100,0),MATCH($M$86,$A$87:$H$87,0))*고양시_Modal_split!D$3 * 0.01</f>
        <v>85.963894260734804</v>
      </c>
      <c r="O90" s="206">
        <f>INDEX($A$87:$H$100,MATCH($L90,$B$87:$B$100,0),MATCH($M$86,$A$87:$H$87,0))*고양시_Modal_split!E$3 * 0.01</f>
        <v>10.400479658591983</v>
      </c>
      <c r="P90" s="206">
        <f>INDEX($A$87:$H$100,MATCH($L90,$B$87:$B$100,0),MATCH($M$86,$A$87:$H$87,0))*고양시_Modal_split!F$3 * 0.01</f>
        <v>16.761405706377591</v>
      </c>
      <c r="Q90" s="206">
        <f>INDEX($A$87:$H$100,MATCH($L90,$B$87:$B$100,0),MATCH($M$86,$A$87:$H$87,0))*고양시_Modal_split!G$3 * 0.01</f>
        <v>1.6816241275755051</v>
      </c>
      <c r="R90" s="206">
        <f>INDEX($A$87:$H$100,MATCH($L90,$B$87:$B$100,0),MATCH($M$86,$A$87:$H$87,0))*고양시_Modal_split!H$3 * 0.01</f>
        <v>1.8278523125820709E-2</v>
      </c>
      <c r="S90" s="206">
        <f>INDEX($A$87:$H$100,MATCH($L90,$B$87:$B$100,0),MATCH($M$86,$A$87:$H$87,0))*고양시_Modal_split!I$3 * 0.01</f>
        <v>5.081429428978157</v>
      </c>
      <c r="T90" s="206">
        <f>INDEX($A$87:$H$100,MATCH($L90,$B$87:$B$100,0),MATCH($M$86,$A$87:$H$87,0))*고양시_Modal_split!J$3 * 0.01</f>
        <v>55.639824394998243</v>
      </c>
      <c r="U90" s="206">
        <f>INDEX($A$87:$H$100,MATCH($L90,$B$87:$B$100,0),MATCH($M$86,$A$87:$H$87,0))*고양시_Modal_split!K$3 * 0.01</f>
        <v>0.27417784688731067</v>
      </c>
      <c r="V90" s="206">
        <f>INDEX($A$87:$H$100,MATCH($L90,$B$87:$B$100,0),MATCH($M$86,$A$87:$H$87,0))*고양시_Modal_split!L$3 * 0.01</f>
        <v>5.5201139839978541</v>
      </c>
      <c r="W90" s="206">
        <f>INDEX($A$87:$H$100,MATCH($L90,$B$87:$B$100,0),MATCH($M$86,$A$87:$H$87,0))*고양시_Modal_split!M$3 * 0.01</f>
        <v>0.42040603189387626</v>
      </c>
      <c r="X90" s="206">
        <f>INDEX($A$87:$H$100,MATCH($L90,$B$87:$B$100,0),MATCH($M$86,$A$87:$H$87,0))*고양시_Modal_split!N$3 * 0.01</f>
        <v>0.18278523125820709</v>
      </c>
      <c r="Y90" s="206">
        <f>INDEX($A$87:$H$100,MATCH($L90,$B$87:$B$100,0),MATCH($M$86,$A$87:$H$87,0))*고양시_Modal_split!O$3 * 0.01</f>
        <v>0.32901341626477276</v>
      </c>
      <c r="Z90" s="209">
        <f>INDEX($A$87:$H$100,MATCH($L90,$B$87:$B$100,0),MATCH($M$86,$A$87:$H$87,0))*고양시_Modal_split!P$3 * 0.01</f>
        <v>182.78523125820709</v>
      </c>
      <c r="AA90" s="207">
        <f>INDEX($A$87:$H$100,MATCH($L90,$B$87:$B$100,0),MATCH($AA$86,$A$87:$H$87,0))*고양시_Modal_split!C$3 * 0.01</f>
        <v>3.7039915167622972</v>
      </c>
      <c r="AB90" s="207">
        <f>INDEX($A$87:$H$100,MATCH($L90,$B$87:$B$100,0),MATCH($AA$86,$A$87:$H$87,0))*고양시_Modal_split!D$3 * 0.01</f>
        <v>622.1382894047531</v>
      </c>
      <c r="AC90" s="207">
        <f>INDEX($A$87:$H$100,MATCH($L90,$B$87:$B$100,0),MATCH($AA$86,$A$87:$H$87,0))*고양시_Modal_split!E$3 * 0.01</f>
        <v>75.270399037062404</v>
      </c>
      <c r="AD90" s="207">
        <f>INDEX($A$87:$H$100,MATCH($L90,$B$87:$B$100,0),MATCH($AA$86,$A$87:$H$87,0))*고양시_Modal_split!F$3 * 0.01</f>
        <v>121.30572217396526</v>
      </c>
      <c r="AE90" s="207">
        <f>INDEX($A$87:$H$100,MATCH($L90,$B$87:$B$100,0),MATCH($AA$86,$A$87:$H$87,0))*고양시_Modal_split!G$3 * 0.01</f>
        <v>12.170257840790407</v>
      </c>
      <c r="AF90" s="207">
        <f>INDEX($A$87:$H$100,MATCH($L90,$B$87:$B$100,0),MATCH($AA$86,$A$87:$H$87,0))*고양시_Modal_split!H$3 * 0.01</f>
        <v>0.13228541131293922</v>
      </c>
      <c r="AG90" s="207">
        <f>INDEX($A$87:$H$100,MATCH($L90,$B$87:$B$100,0),MATCH($AA$86,$A$87:$H$87,0))*고양시_Modal_split!I$3 * 0.01</f>
        <v>36.775344344997102</v>
      </c>
      <c r="AH90" s="207">
        <f>INDEX($A$87:$H$100,MATCH($L90,$B$87:$B$100,0),MATCH($AA$86,$A$87:$H$87,0))*고양시_Modal_split!J$3 * 0.01</f>
        <v>402.67679203658702</v>
      </c>
      <c r="AI90" s="207">
        <f>INDEX($A$87:$H$100,MATCH($L90,$B$87:$B$100,0),MATCH($AA$86,$A$87:$H$87,0))*고양시_Modal_split!K$3 * 0.01</f>
        <v>1.9842811696940883</v>
      </c>
      <c r="AJ90" s="207">
        <f>INDEX($A$87:$H$100,MATCH($L90,$B$87:$B$100,0),MATCH($AA$86,$A$87:$H$87,0))*고양시_Modal_split!L$3 * 0.01</f>
        <v>39.950194216507647</v>
      </c>
      <c r="AK90" s="207">
        <f>INDEX($A$87:$H$100,MATCH($L90,$B$87:$B$100,0),MATCH($AA$86,$A$87:$H$87,0))*고양시_Modal_split!M$3 * 0.01</f>
        <v>3.0425644601976018</v>
      </c>
      <c r="AL90" s="207">
        <f>INDEX($A$87:$H$100,MATCH($L90,$B$87:$B$100,0),MATCH($AA$86,$A$87:$H$87,0))*고양시_Modal_split!N$3 * 0.01</f>
        <v>1.3228541131293921</v>
      </c>
      <c r="AM90" s="207">
        <f>INDEX($A$87:$H$100,MATCH($L90,$B$87:$B$100,0),MATCH($AA$86,$A$87:$H$87,0))*고양시_Modal_split!O$3 * 0.01</f>
        <v>2.3811374036329056</v>
      </c>
      <c r="AN90" s="207">
        <f>INDEX($A$87:$H$100,MATCH($L90,$B$87:$B$100,0),MATCH($AA$86,$A$87:$H$87,0))*고양시_Modal_split!P$3 * 0.01</f>
        <v>1322.8541131293923</v>
      </c>
      <c r="AO90" s="303">
        <f>INDEX($A$87:$H$100,MATCH($L90,$B$87:$B$100,0),MATCH($AO$86,$A$87:$H$87,0))*고양시_Modal_split!C$3 * 0.01</f>
        <v>0.21248882516776152</v>
      </c>
      <c r="AP90" s="303">
        <f>INDEX($A$87:$H$100,MATCH($L90,$B$87:$B$100,0),MATCH($AO$86,$A$87:$H$87,0))*고양시_Modal_split!D$3 * 0.01</f>
        <v>35.690533741570803</v>
      </c>
      <c r="AQ90" s="303">
        <f>INDEX($A$87:$H$100,MATCH($L90,$B$87:$B$100,0),MATCH($AO$86,$A$87:$H$87,0))*고양시_Modal_split!E$3 * 0.01</f>
        <v>4.3180764828734395</v>
      </c>
      <c r="AR90" s="303">
        <f>INDEX($A$87:$H$100,MATCH($L90,$B$87:$B$100,0),MATCH($AO$86,$A$87:$H$87,0))*고양시_Modal_split!F$3 * 0.01</f>
        <v>6.9590090242441898</v>
      </c>
      <c r="AS90" s="303">
        <f>INDEX($A$87:$H$100,MATCH($L90,$B$87:$B$100,0),MATCH($AO$86,$A$87:$H$87,0))*고양시_Modal_split!G$3 * 0.01</f>
        <v>0.69817756840835932</v>
      </c>
      <c r="AT90" s="303">
        <f>INDEX($A$87:$H$100,MATCH($L90,$B$87:$B$100,0),MATCH($AO$86,$A$87:$H$87,0))*고양시_Modal_split!H$3 * 0.01</f>
        <v>7.5888866131343406E-3</v>
      </c>
      <c r="AU90" s="303">
        <f>INDEX($A$87:$H$100,MATCH($L90,$B$87:$B$100,0),MATCH($AO$86,$A$87:$H$87,0))*고양시_Modal_split!I$3 * 0.01</f>
        <v>2.1097104784513467</v>
      </c>
      <c r="AV90" s="303">
        <f>INDEX($A$87:$H$100,MATCH($L90,$B$87:$B$100,0),MATCH($AO$86,$A$87:$H$87,0))*고양시_Modal_split!J$3 * 0.01</f>
        <v>23.100570850380933</v>
      </c>
      <c r="AW90" s="303">
        <f>INDEX($A$87:$H$100,MATCH($L90,$B$87:$B$100,0),MATCH($AO$86,$A$87:$H$87,0))*고양시_Modal_split!K$3 * 0.01</f>
        <v>0.11383329919701511</v>
      </c>
      <c r="AX90" s="303">
        <f>INDEX($A$87:$H$100,MATCH($L90,$B$87:$B$100,0),MATCH($AO$86,$A$87:$H$87,0))*고양시_Modal_split!L$3 * 0.01</f>
        <v>2.2918437571665708</v>
      </c>
      <c r="AY90" s="303">
        <f>INDEX($A$87:$H$100,MATCH($L90,$B$87:$B$100,0),MATCH($AO$86,$A$87:$H$87,0))*고양시_Modal_split!M$3 * 0.01</f>
        <v>0.17454439210208983</v>
      </c>
      <c r="AZ90" s="303">
        <f>INDEX($A$87:$H$100,MATCH($L90,$B$87:$B$100,0),MATCH($AO$86,$A$87:$H$87,0))*고양시_Modal_split!N$3 * 0.01</f>
        <v>7.5888866131343408E-2</v>
      </c>
      <c r="BA90" s="207">
        <f>INDEX($A$87:$H$100,MATCH($L90,$B$87:$B$100,0),MATCH($AO$86,$A$87:$H$87,0))*고양시_Modal_split!O$3 * 0.01</f>
        <v>0.13659995903641814</v>
      </c>
      <c r="BB90" s="207">
        <f>INDEX($A$87:$H$100,MATCH($L90,$B$87:$B$100,0),MATCH($AO$86,$A$87:$H$87,0))*고양시_Modal_split!P$3 * 0.01</f>
        <v>75.888866131343406</v>
      </c>
      <c r="BC90" s="207">
        <f>INDEX($A$87:$H$100,MATCH($L90,$B$87:$B$100,0),MATCH($BC$86,$A$87:$H$87,0))*고양시_Modal_split!C$3 * 0.01</f>
        <v>3.3392691225944649E-4</v>
      </c>
      <c r="BD90" s="207">
        <f>INDEX($A$87:$H$100,MATCH($L90,$B$87:$B$100,0),MATCH($BC$86,$A$87:$H$87,0))*고양시_Modal_split!D$3 * 0.01</f>
        <v>5.6087795298434891E-2</v>
      </c>
      <c r="BE90" s="207">
        <f>INDEX($A$87:$H$100,MATCH($L90,$B$87:$B$100,0),MATCH($BC$86,$A$87:$H$87,0))*고양시_Modal_split!E$3 * 0.01</f>
        <v>6.7858718955580381E-3</v>
      </c>
      <c r="BF90" s="207">
        <f>INDEX($A$87:$H$100,MATCH($L90,$B$87:$B$100,0),MATCH($BC$86,$A$87:$H$87,0))*고양시_Modal_split!F$3 * 0.01</f>
        <v>1.0936106376496873E-2</v>
      </c>
      <c r="BG90" s="207">
        <f>INDEX($A$87:$H$100,MATCH($L90,$B$87:$B$100,0),MATCH($BC$86,$A$87:$H$87,0))*고양시_Modal_split!G$3 * 0.01</f>
        <v>1.0971884259953241E-3</v>
      </c>
      <c r="BH90" s="207">
        <f>INDEX($A$87:$H$100,MATCH($L90,$B$87:$B$100,0),MATCH($BC$86,$A$87:$H$87,0))*고양시_Modal_split!H$3 * 0.01</f>
        <v>1.1925961152123089E-5</v>
      </c>
      <c r="BI90" s="207">
        <f>INDEX($A$87:$H$100,MATCH($L90,$B$87:$B$100,0),MATCH($BC$86,$A$87:$H$87,0))*고양시_Modal_split!I$3 * 0.01</f>
        <v>3.3154172002902191E-3</v>
      </c>
      <c r="BJ90" s="207">
        <f>INDEX($A$87:$H$100,MATCH($L90,$B$87:$B$100,0),MATCH($BC$86,$A$87:$H$87,0))*고양시_Modal_split!J$3 * 0.01</f>
        <v>3.6302625747062688E-2</v>
      </c>
      <c r="BK90" s="207">
        <f>INDEX($A$87:$H$100,MATCH($L90,$B$87:$B$100,0),MATCH($BC$86,$A$87:$H$87,0))*고양시_Modal_split!K$3 * 0.01</f>
        <v>1.7888941728184634E-4</v>
      </c>
      <c r="BL90" s="207">
        <f>INDEX($A$87:$H$100,MATCH($L90,$B$87:$B$100,0),MATCH($BC$86,$A$87:$H$87,0))*고양시_Modal_split!L$3 * 0.01</f>
        <v>3.6016402679411729E-3</v>
      </c>
      <c r="BM90" s="207">
        <f>INDEX($A$87:$H$100,MATCH($L90,$B$87:$B$100,0),MATCH($BC$86,$A$87:$H$87,0))*고양시_Modal_split!M$3 * 0.01</f>
        <v>2.7429710649883103E-4</v>
      </c>
      <c r="BN90" s="207">
        <f>INDEX($A$87:$H$100,MATCH($L90,$B$87:$B$100,0),MATCH($BC$86,$A$87:$H$87,0))*고양시_Modal_split!N$3 * 0.01</f>
        <v>1.1925961152123092E-4</v>
      </c>
      <c r="BO90" s="207">
        <f>INDEX($A$87:$H$100,MATCH($L90,$B$87:$B$100,0),MATCH($BC$86,$A$87:$H$87,0))*고양시_Modal_split!O$3 * 0.01</f>
        <v>2.1466730073821559E-4</v>
      </c>
      <c r="BP90" s="207">
        <f>INDEX($A$87:$H$100,MATCH($L90,$B$87:$B$100,0),MATCH($BC$86,$A$87:$H$87,0))*고양시_Modal_split!P$3 * 0.01</f>
        <v>0.11925961152123091</v>
      </c>
      <c r="BQ90" s="207">
        <f>INDEX($A$87:$H$100,MATCH($L90,$B$87:$B$100,0),MATCH($BQ$86,$A$87:$H$87,0))*고양시_Modal_split!C$3 * 0.01</f>
        <v>1.2615016685356912E-3</v>
      </c>
      <c r="BR90" s="207">
        <f>INDEX($A$87:$H$100,MATCH($L90,$B$87:$B$100,0),MATCH($BQ$86,$A$87:$H$87,0))*고양시_Modal_split!D$3 * 0.01</f>
        <v>0.21188722668297705</v>
      </c>
      <c r="BS90" s="207">
        <f>INDEX($A$87:$H$100,MATCH($L90,$B$87:$B$100,0),MATCH($BQ$86,$A$87:$H$87,0))*고양시_Modal_split!E$3 * 0.01</f>
        <v>2.5635516049886013E-2</v>
      </c>
      <c r="BT90" s="207">
        <f>INDEX($A$87:$H$100,MATCH($L90,$B$87:$B$100,0),MATCH($BQ$86,$A$87:$H$87,0))*고양시_Modal_split!F$3 * 0.01</f>
        <v>4.131417964454389E-2</v>
      </c>
      <c r="BU90" s="207">
        <f>INDEX($A$87:$H$100,MATCH($L90,$B$87:$B$100,0),MATCH($BQ$86,$A$87:$H$87,0))*고양시_Modal_split!G$3 * 0.01</f>
        <v>4.1449340537601286E-3</v>
      </c>
      <c r="BV90" s="207">
        <f>INDEX($A$87:$H$100,MATCH($L90,$B$87:$B$100,0),MATCH($BQ$86,$A$87:$H$87,0))*고양시_Modal_split!H$3 * 0.01</f>
        <v>4.5053631019131835E-5</v>
      </c>
      <c r="BW90" s="207">
        <f>INDEX($A$87:$H$100,MATCH($L90,$B$87:$B$100,0),MATCH($BQ$86,$A$87:$H$87,0))*고양시_Modal_split!I$3 * 0.01</f>
        <v>1.2524909423318648E-2</v>
      </c>
      <c r="BX90" s="207">
        <f>INDEX($A$87:$H$100,MATCH($L90,$B$87:$B$100,0),MATCH($BQ$86,$A$87:$H$87,0))*고양시_Modal_split!J$3 * 0.01</f>
        <v>0.13714325282223733</v>
      </c>
      <c r="BY90" s="207">
        <f>INDEX($A$87:$H$100,MATCH($L90,$B$87:$B$100,0),MATCH($BQ$86,$A$87:$H$87,0))*고양시_Modal_split!K$3 * 0.01</f>
        <v>6.7580446528697758E-4</v>
      </c>
      <c r="BZ90" s="207">
        <f>INDEX($A$87:$H$100,MATCH($L90,$B$87:$B$100,0),MATCH($BQ$86,$A$87:$H$87,0))*고양시_Modal_split!L$3 * 0.01</f>
        <v>1.3606196567777815E-2</v>
      </c>
      <c r="CA90" s="207">
        <f>INDEX($A$87:$H$100,MATCH($L90,$B$87:$B$100,0),MATCH($BQ$86,$A$87:$H$87,0))*고양시_Modal_split!M$3 * 0.01</f>
        <v>1.0362335134400321E-3</v>
      </c>
      <c r="CB90" s="207">
        <f>INDEX($A$87:$H$100,MATCH($L90,$B$87:$B$100,0),MATCH($BQ$86,$A$87:$H$87,0))*고양시_Modal_split!N$3 * 0.01</f>
        <v>4.505363101913184E-4</v>
      </c>
      <c r="CC90" s="207">
        <f>INDEX($A$87:$H$100,MATCH($L90,$B$87:$B$100,0),MATCH($BQ$86,$A$87:$H$87,0))*고양시_Modal_split!O$3 * 0.01</f>
        <v>8.1096535834437292E-4</v>
      </c>
      <c r="CD90" s="207">
        <f>INDEX($A$87:$H$100,MATCH($L90,$B$87:$B$100,0),MATCH($BQ$86,$A$87:$H$87,0))*고양시_Modal_split!P$3 * 0.01</f>
        <v>0.45053631019131835</v>
      </c>
      <c r="CE90" s="304">
        <f t="shared" si="69"/>
        <v>4.4298744180338332</v>
      </c>
      <c r="CF90" s="304">
        <f t="shared" si="51"/>
        <v>744.06069242904016</v>
      </c>
      <c r="CG90" s="304">
        <f t="shared" si="52"/>
        <v>90.021376566473265</v>
      </c>
      <c r="CH90" s="304">
        <f t="shared" si="53"/>
        <v>145.07838719060808</v>
      </c>
      <c r="CI90" s="304">
        <f t="shared" si="54"/>
        <v>14.555301659254027</v>
      </c>
      <c r="CJ90" s="304">
        <f t="shared" si="55"/>
        <v>0.15820980064406553</v>
      </c>
      <c r="CK90" s="304">
        <f t="shared" si="56"/>
        <v>43.982324579050214</v>
      </c>
      <c r="CL90" s="304">
        <f t="shared" si="57"/>
        <v>481.5906331605355</v>
      </c>
      <c r="CM90" s="304">
        <f t="shared" si="58"/>
        <v>2.3731470096609835</v>
      </c>
      <c r="CN90" s="304">
        <f t="shared" si="59"/>
        <v>47.779359794507783</v>
      </c>
      <c r="CO90" s="304">
        <f t="shared" si="60"/>
        <v>3.6388254148135069</v>
      </c>
      <c r="CP90" s="304">
        <f t="shared" si="61"/>
        <v>1.5820980064406549</v>
      </c>
      <c r="CQ90" s="304">
        <f t="shared" si="62"/>
        <v>2.8477764115931792</v>
      </c>
      <c r="CR90" s="304">
        <f t="shared" si="63"/>
        <v>1582.0980064406556</v>
      </c>
      <c r="CS90" s="305">
        <f t="shared" si="70"/>
        <v>0</v>
      </c>
      <c r="CV90" s="265" t="s">
        <v>606</v>
      </c>
      <c r="CW90" s="265" t="s">
        <v>609</v>
      </c>
      <c r="CX90" s="267">
        <f>INDEX($M$86:$Z$100,MATCH($CW90,$L$86:$L$100,0),MATCH(CX$87,$M$87:$Z$87,0))/INDEX(고양시_재차인원!$D$4:$H$35,MATCH("고양시",고양시_재차인원!$B$4:$B$35,0),MATCH($CX$86,고양시_재차인원!$D$4:$H$4,0))</f>
        <v>76.753477018513209</v>
      </c>
      <c r="CY90" s="267">
        <f>INDEX($M$86:$Z$100,MATCH($CW90,$L$86:$L$100,0),MATCH(CY$87,$M$87:$Z$87,0))/INDEX(고양시_재차인원!$K$4:$O$20,MATCH("경기도",고양시_재차인원!$K$4:$K$20,0),MATCH($CY$87,고양시_재차인원!$K$4:$O$4,0))</f>
        <v>6.348913902681733E-4</v>
      </c>
      <c r="CZ90" s="267">
        <f>INDEX($M$86:$Z$100,MATCH($CW90,$L$86:$L$100,0),MATCH(CZ$87,$M$87:$Z$87,0))/INDEX(고양시_재차인원!$K$4:$O$20,MATCH("경기도",고양시_재차인원!$K$4:$K$20,0),MATCH($CZ$87,고양시_재차인원!$K$4:$O$4,0))</f>
        <v>0.17649980649455219</v>
      </c>
      <c r="DA90" s="267">
        <f>INDEX($M$86:$Z$100,MATCH($CW90,$L$86:$L$100,0),MATCH(DA$87,$M$87:$Z$87,0))/INDEX(고양시_재차인원!$D$4:$H$35,MATCH("고양시",고양시_재차인원!$B$4:$B$35,0),MATCH($CX$86,고양시_재차인원!$D$4:$H$4,0))</f>
        <v>4.9286731999980837</v>
      </c>
      <c r="DB90" s="267">
        <f>INDEX($AA$86:$AN$100,MATCH($CW90,$L$86:$L$100,0),MATCH(DB$87,$AA$87:$AN$87,0))/INDEX(고양시_재차인원!$D$4:$H$35,MATCH("고양시",고양시_재차인원!$B$4:$B$35,0),MATCH($DB$86,고양시_재차인원!$D$4:$H$4,0))</f>
        <v>441.23282936507314</v>
      </c>
      <c r="DC90" s="267">
        <f>INDEX($AA$86:$AN$100,MATCH($CW90,$L$86:$L$100,0),MATCH(DC$87,$AA$87:$AN$87,0))/INDEX(고양시_재차인원!$K$4:$O$20,MATCH("경기도",고양시_재차인원!$K$4:$K$20,0),MATCH(DC$87,고양시_재차인원!$K$4:$O$4,0))</f>
        <v>4.5948388785321025E-3</v>
      </c>
      <c r="DD90" s="267">
        <f>INDEX($AA$86:$AN$100,MATCH($CW90,$L$86:$L$100,0),MATCH(DD$87,$AA$87:$AN$87,0))/INDEX(고양시_재차인원!$K$4:$O$20,MATCH("경기도",고양시_재차인원!$K$4:$K$20,0),MATCH(DD$87,고양시_재차인원!$K$4:$O$4,0))</f>
        <v>1.2773652082319245</v>
      </c>
      <c r="DE90" s="267">
        <f>INDEX($AA$86:$AN$100,MATCH($CW90,$L$86:$L$100,0),MATCH(DE$87,$AA$87:$AN$87,0))/INDEX(고양시_재차인원!$D$4:$H$35,MATCH("고양시",고양시_재차인원!$B$4:$B$35,0),MATCH($DB$86,고양시_재차인원!$D$4:$H$4,0))</f>
        <v>28.333471075537339</v>
      </c>
      <c r="DF90" s="267">
        <f>INDEX($AO$86:$BB$100,MATCH($CW90,$L$86:$L$100,0),MATCH(DF$87,$AO$87:$BB$87,0))/INDEX(고양시_재차인원!$D$4:$H$35,MATCH("고양시",고양시_재차인원!$B$4:$B$35,0),MATCH($DF$86,고양시_재차인원!$D$4:$H$4,0))</f>
        <v>27.454256724285234</v>
      </c>
      <c r="DG90" s="267">
        <f>INDEX($AO$86:$BB$100,MATCH($CW90,$L$86:$L$100,0),MATCH(DG$87,$AO$87:$BB$87,0))/INDEX(고양시_재차인원!$K$4:$O$20,MATCH("경기도",고양시_재차인원!$K$4:$K$20,0),MATCH(DG$87,고양시_재차인원!$K$4:$O$4,0))</f>
        <v>2.6359453328010912E-4</v>
      </c>
      <c r="DH90" s="267">
        <f>INDEX($AO$86:$BB$100,MATCH($CW90,$L$86:$L$100,0),MATCH(DH$87,$AO$87:$BB$87,0))/INDEX(고양시_재차인원!$K$4:$O$20,MATCH("경기도",고양시_재차인원!$K$4:$K$20,0),MATCH(DH$87,고양시_재차인원!$K$4:$O$4,0))</f>
        <v>7.3279280251870332E-2</v>
      </c>
      <c r="DI90" s="267">
        <f>INDEX($AO$86:$BB$100,MATCH($CW90,$L$86:$L$100,0),MATCH(DI$87,$AO$87:$BB$87,0))/INDEX(고양시_재차인원!$D$4:$H$35,MATCH("고양시",고양시_재차인원!$B$4:$B$35,0),MATCH($DF$86,고양시_재차인원!$D$4:$H$4,0))</f>
        <v>1.7629567362819776</v>
      </c>
      <c r="DJ90" s="267">
        <f>INDEX($BC$86:$BP$100,MATCH($CW90,$L$86:$L$100,0),MATCH(DJ$87,$BC$87:$BP$87,0))/INDEX(고양시_재차인원!$D$4:$H$35,MATCH("고양시",고양시_재차인원!$B$4:$B$35,0),MATCH($DJ$86,고양시_재차인원!$D$4:$H$4,0))</f>
        <v>4.1241025954731537E-2</v>
      </c>
      <c r="DK90" s="267">
        <f>INDEX($BC$86:$BP$100,MATCH($CW90,$L$86:$L$100,0),MATCH(DK$87,$BC$87:$BP$87,0))/INDEX(고양시_재차인원!$K$4:$O$20,MATCH("경기도",고양시_재차인원!$K$4:$K$20,0),MATCH(DK$87,고양시_재차인원!$K$4:$O$4,0))</f>
        <v>4.1423970656905487E-7</v>
      </c>
      <c r="DL90" s="267">
        <f>INDEX($BC$86:$BP$100,MATCH($CW90,$L$86:$L$100,0),MATCH(DL$87,$BC$87:$BP$87,0))/INDEX(고양시_재차인원!$K$4:$O$20,MATCH("경기도",고양시_재차인원!$K$4:$K$20,0),MATCH(DL$87,고양시_재차인원!$K$4:$O$4,0))</f>
        <v>1.1515863842619727E-4</v>
      </c>
      <c r="DM90" s="267">
        <f>INDEX($BC$86:$BP$100,MATCH($CW90,$L$86:$L$100,0),MATCH(DM$87,$BC$87:$BP$87,0))/INDEX(고양시_재차인원!$D$4:$H$35,MATCH("고양시",고양시_재차인원!$B$4:$B$35,0),MATCH($DJ$86,고양시_재차인원!$D$4:$H$4,0))</f>
        <v>2.6482649028979209E-3</v>
      </c>
      <c r="DN90" s="267">
        <f>INDEX($BQ$86:$CD$100,MATCH($CW90,$L$86:$L$100,0),MATCH(DN$87,$BQ$87:$CD$87,0))/INDEX(고양시_재차인원!$D$4:$H$35,MATCH("고양시",고양시_재차인원!$B$4:$B$35,0),MATCH($DN$86,고양시_재차인원!$D$4:$H$4,0))</f>
        <v>0.16816446562141035</v>
      </c>
      <c r="DO90" s="267">
        <f>INDEX($BQ$86:$CD$100,MATCH($CW90,$L$86:$L$100,0),MATCH(DO$87,$BQ$87:$CD$87,0))/INDEX(고양시_재차인원!$K$4:$O$20,MATCH("경기도",고양시_재차인원!$K$4:$K$20,0),MATCH(DO$87,고양시_재차인원!$K$4:$O$4,0))</f>
        <v>1.5649055581497684E-6</v>
      </c>
      <c r="DP90" s="267">
        <f>INDEX($BQ$86:$CD$100,MATCH($CW90,$L$86:$L$100,0),MATCH(DP$87,$BQ$87:$CD$87,0))/INDEX(고양시_재차인원!$K$4:$O$20,MATCH("경기도",고양시_재차인원!$K$4:$K$20,0),MATCH(DP$87,고양시_재차인원!$K$4:$O$4,0))</f>
        <v>4.3504374516563561E-4</v>
      </c>
      <c r="DQ90" s="267">
        <f>INDEX($BQ$86:$CD$100,MATCH($CW90,$L$86:$L$100,0),MATCH(DQ$87,$BQ$87:$CD$87,0))/INDEX(고양시_재차인원!$D$4:$H$35,MATCH("고양시",고양시_재차인원!$B$4:$B$35,0),MATCH($DN$86,고양시_재차인원!$D$4:$H$4,0))</f>
        <v>1.0798568704585568E-2</v>
      </c>
      <c r="DR90" s="270">
        <f t="shared" si="71"/>
        <v>545.64996859944767</v>
      </c>
      <c r="DS90" s="270">
        <f t="shared" si="64"/>
        <v>5.4953039473451034E-3</v>
      </c>
      <c r="DT90" s="270">
        <f t="shared" si="65"/>
        <v>1.5276944973619389</v>
      </c>
      <c r="DU90" s="270">
        <f t="shared" si="66"/>
        <v>35.03854784542488</v>
      </c>
      <c r="DW90" s="278" t="s">
        <v>606</v>
      </c>
      <c r="DX90" s="278" t="s">
        <v>609</v>
      </c>
      <c r="DY90" s="281">
        <f t="shared" si="72"/>
        <v>580.68851644487256</v>
      </c>
      <c r="DZ90" s="281">
        <f t="shared" si="73"/>
        <v>1.533189801309284</v>
      </c>
      <c r="EB90" s="278" t="s">
        <v>623</v>
      </c>
      <c r="EC90" s="278" t="s">
        <v>609</v>
      </c>
      <c r="ED90" s="309">
        <f t="shared" si="74"/>
        <v>682.02468745775332</v>
      </c>
      <c r="EE90" s="309">
        <f t="shared" si="67"/>
        <v>1.8007473291417324</v>
      </c>
      <c r="EK90" s="420" t="s">
        <v>623</v>
      </c>
      <c r="EL90" s="420" t="s">
        <v>638</v>
      </c>
      <c r="EM90" s="420" t="s">
        <v>569</v>
      </c>
      <c r="EN90" s="420">
        <v>38657.855799999998</v>
      </c>
      <c r="EO90" s="420">
        <v>1</v>
      </c>
      <c r="EP90" s="421">
        <v>849003</v>
      </c>
      <c r="EQ90" s="422">
        <f t="shared" si="75"/>
        <v>813.30350742776363</v>
      </c>
      <c r="ER90" s="422">
        <f t="shared" si="76"/>
        <v>2.1473623253159251</v>
      </c>
      <c r="ES90">
        <v>0</v>
      </c>
      <c r="EU90" s="306" t="s">
        <v>623</v>
      </c>
      <c r="EV90" s="306" t="s">
        <v>198</v>
      </c>
      <c r="EW90" s="306" t="s">
        <v>569</v>
      </c>
      <c r="EX90" s="306">
        <v>38657.855799999998</v>
      </c>
      <c r="EY90" s="306">
        <v>1</v>
      </c>
      <c r="EZ90" s="307">
        <v>849003</v>
      </c>
      <c r="FA90" s="308">
        <f t="shared" si="77"/>
        <v>813.30350742776363</v>
      </c>
      <c r="FB90" s="308">
        <f t="shared" si="68"/>
        <v>2.1473623253159251</v>
      </c>
      <c r="FD90" s="101"/>
      <c r="FE90" s="101"/>
      <c r="FF90" s="101"/>
      <c r="FG90" s="101"/>
      <c r="FH90" s="101"/>
      <c r="FI90" s="374"/>
      <c r="FJ90" s="404"/>
      <c r="FK90" s="404"/>
    </row>
    <row r="91" spans="1:167">
      <c r="A91" s="205" t="s">
        <v>606</v>
      </c>
      <c r="B91" s="205" t="s">
        <v>610</v>
      </c>
      <c r="C91" s="201">
        <f>$K32*KTDB_TripDistribution_2025!T$12</f>
        <v>186.38567104272647</v>
      </c>
      <c r="D91" s="201">
        <f>$K32*KTDB_TripDistribution_2025!U$12</f>
        <v>1348.9112324340588</v>
      </c>
      <c r="E91" s="201">
        <f>$K32*KTDB_TripDistribution_2025!V$12</f>
        <v>77.383698569065785</v>
      </c>
      <c r="F91" s="201">
        <f>$K32*KTDB_TripDistribution_2025!W$12</f>
        <v>0.12160874578690252</v>
      </c>
      <c r="G91" s="201">
        <f>$K32*KTDB_TripDistribution_2025!X$12</f>
        <v>0.45941081741718898</v>
      </c>
      <c r="H91" s="201">
        <f>$K32*KTDB_TripDistribution_2025!Y$12</f>
        <v>1613.2616216090555</v>
      </c>
      <c r="J91" s="230">
        <f t="shared" si="50"/>
        <v>1613.2616216090553</v>
      </c>
      <c r="K91" s="206" t="s">
        <v>606</v>
      </c>
      <c r="L91" s="206" t="s">
        <v>610</v>
      </c>
      <c r="M91" s="206">
        <f>INDEX($A$87:$H$100,MATCH($L91,$B$87:$B$100,0),MATCH($M$86,$A$87:$H$87,0))*고양시_Modal_split!C$3 * 0.01</f>
        <v>0.52187987891963405</v>
      </c>
      <c r="N91" s="206">
        <f>INDEX($A$87:$H$100,MATCH($L91,$B$87:$B$100,0),MATCH($M$86,$A$87:$H$87,0))*고양시_Modal_split!D$3 * 0.01</f>
        <v>87.657181091394264</v>
      </c>
      <c r="O91" s="206">
        <f>INDEX($A$87:$H$100,MATCH($L91,$B$87:$B$100,0),MATCH($M$86,$A$87:$H$87,0))*고양시_Modal_split!E$3 * 0.01</f>
        <v>10.605344682331136</v>
      </c>
      <c r="P91" s="206">
        <f>INDEX($A$87:$H$100,MATCH($L91,$B$87:$B$100,0),MATCH($M$86,$A$87:$H$87,0))*고양시_Modal_split!F$3 * 0.01</f>
        <v>17.091566034618019</v>
      </c>
      <c r="Q91" s="206">
        <f>INDEX($A$87:$H$100,MATCH($L91,$B$87:$B$100,0),MATCH($M$86,$A$87:$H$87,0))*고양시_Modal_split!G$3 * 0.01</f>
        <v>1.7147481735930834</v>
      </c>
      <c r="R91" s="206">
        <f>INDEX($A$87:$H$100,MATCH($L91,$B$87:$B$100,0),MATCH($M$86,$A$87:$H$87,0))*고양시_Modal_split!H$3 * 0.01</f>
        <v>1.8638567104272648E-2</v>
      </c>
      <c r="S91" s="206">
        <f>INDEX($A$87:$H$100,MATCH($L91,$B$87:$B$100,0),MATCH($M$86,$A$87:$H$87,0))*고양시_Modal_split!I$3 * 0.01</f>
        <v>5.1815216549877965</v>
      </c>
      <c r="T91" s="206">
        <f>INDEX($A$87:$H$100,MATCH($L91,$B$87:$B$100,0),MATCH($M$86,$A$87:$H$87,0))*고양시_Modal_split!J$3 * 0.01</f>
        <v>56.73579826540594</v>
      </c>
      <c r="U91" s="206">
        <f>INDEX($A$87:$H$100,MATCH($L91,$B$87:$B$100,0),MATCH($M$86,$A$87:$H$87,0))*고양시_Modal_split!K$3 * 0.01</f>
        <v>0.27957850656408967</v>
      </c>
      <c r="V91" s="206">
        <f>INDEX($A$87:$H$100,MATCH($L91,$B$87:$B$100,0),MATCH($M$86,$A$87:$H$87,0))*고양시_Modal_split!L$3 * 0.01</f>
        <v>5.6288472654903403</v>
      </c>
      <c r="W91" s="206">
        <f>INDEX($A$87:$H$100,MATCH($L91,$B$87:$B$100,0),MATCH($M$86,$A$87:$H$87,0))*고양시_Modal_split!M$3 * 0.01</f>
        <v>0.42868704339827085</v>
      </c>
      <c r="X91" s="206">
        <f>INDEX($A$87:$H$100,MATCH($L91,$B$87:$B$100,0),MATCH($M$86,$A$87:$H$87,0))*고양시_Modal_split!N$3 * 0.01</f>
        <v>0.18638567104272649</v>
      </c>
      <c r="Y91" s="206">
        <f>INDEX($A$87:$H$100,MATCH($L91,$B$87:$B$100,0),MATCH($M$86,$A$87:$H$87,0))*고양시_Modal_split!O$3 * 0.01</f>
        <v>0.33549420787690765</v>
      </c>
      <c r="Z91" s="209">
        <f>INDEX($A$87:$H$100,MATCH($L91,$B$87:$B$100,0),MATCH($M$86,$A$87:$H$87,0))*고양시_Modal_split!P$3 * 0.01</f>
        <v>186.38567104272647</v>
      </c>
      <c r="AA91" s="207">
        <f>INDEX($A$87:$H$100,MATCH($L91,$B$87:$B$100,0),MATCH($AA$86,$A$87:$H$87,0))*고양시_Modal_split!C$3 * 0.01</f>
        <v>3.7769514508153641</v>
      </c>
      <c r="AB91" s="207">
        <f>INDEX($A$87:$H$100,MATCH($L91,$B$87:$B$100,0),MATCH($AA$86,$A$87:$H$87,0))*고양시_Modal_split!D$3 * 0.01</f>
        <v>634.39295261373786</v>
      </c>
      <c r="AC91" s="207">
        <f>INDEX($A$87:$H$100,MATCH($L91,$B$87:$B$100,0),MATCH($AA$86,$A$87:$H$87,0))*고양시_Modal_split!E$3 * 0.01</f>
        <v>76.753049125497938</v>
      </c>
      <c r="AD91" s="207">
        <f>INDEX($A$87:$H$100,MATCH($L91,$B$87:$B$100,0),MATCH($AA$86,$A$87:$H$87,0))*고양시_Modal_split!F$3 * 0.01</f>
        <v>123.6951600142032</v>
      </c>
      <c r="AE91" s="207">
        <f>INDEX($A$87:$H$100,MATCH($L91,$B$87:$B$100,0),MATCH($AA$86,$A$87:$H$87,0))*고양시_Modal_split!G$3 * 0.01</f>
        <v>12.40998333839334</v>
      </c>
      <c r="AF91" s="207">
        <f>INDEX($A$87:$H$100,MATCH($L91,$B$87:$B$100,0),MATCH($AA$86,$A$87:$H$87,0))*고양시_Modal_split!H$3 * 0.01</f>
        <v>0.13489112324340588</v>
      </c>
      <c r="AG91" s="207">
        <f>INDEX($A$87:$H$100,MATCH($L91,$B$87:$B$100,0),MATCH($AA$86,$A$87:$H$87,0))*고양시_Modal_split!I$3 * 0.01</f>
        <v>37.499732261666836</v>
      </c>
      <c r="AH91" s="207">
        <f>INDEX($A$87:$H$100,MATCH($L91,$B$87:$B$100,0),MATCH($AA$86,$A$87:$H$87,0))*고양시_Modal_split!J$3 * 0.01</f>
        <v>410.60857915292752</v>
      </c>
      <c r="AI91" s="207">
        <f>INDEX($A$87:$H$100,MATCH($L91,$B$87:$B$100,0),MATCH($AA$86,$A$87:$H$87,0))*고양시_Modal_split!K$3 * 0.01</f>
        <v>2.0233668486510883</v>
      </c>
      <c r="AJ91" s="207">
        <f>INDEX($A$87:$H$100,MATCH($L91,$B$87:$B$100,0),MATCH($AA$86,$A$87:$H$87,0))*고양시_Modal_split!L$3 * 0.01</f>
        <v>40.737119219508578</v>
      </c>
      <c r="AK91" s="207">
        <f>INDEX($A$87:$H$100,MATCH($L91,$B$87:$B$100,0),MATCH($AA$86,$A$87:$H$87,0))*고양시_Modal_split!M$3 * 0.01</f>
        <v>3.1024958345983351</v>
      </c>
      <c r="AL91" s="207">
        <f>INDEX($A$87:$H$100,MATCH($L91,$B$87:$B$100,0),MATCH($AA$86,$A$87:$H$87,0))*고양시_Modal_split!N$3 * 0.01</f>
        <v>1.3489112324340586</v>
      </c>
      <c r="AM91" s="207">
        <f>INDEX($A$87:$H$100,MATCH($L91,$B$87:$B$100,0),MATCH($AA$86,$A$87:$H$87,0))*고양시_Modal_split!O$3 * 0.01</f>
        <v>2.4280402183813057</v>
      </c>
      <c r="AN91" s="207">
        <f>INDEX($A$87:$H$100,MATCH($L91,$B$87:$B$100,0),MATCH($AA$86,$A$87:$H$87,0))*고양시_Modal_split!P$3 * 0.01</f>
        <v>1348.911232434059</v>
      </c>
      <c r="AO91" s="303">
        <f>INDEX($A$87:$H$100,MATCH($L91,$B$87:$B$100,0),MATCH($AO$86,$A$87:$H$87,0))*고양시_Modal_split!C$3 * 0.01</f>
        <v>0.21667435599338419</v>
      </c>
      <c r="AP91" s="303">
        <f>INDEX($A$87:$H$100,MATCH($L91,$B$87:$B$100,0),MATCH($AO$86,$A$87:$H$87,0))*고양시_Modal_split!D$3 * 0.01</f>
        <v>36.393553437031642</v>
      </c>
      <c r="AQ91" s="303">
        <f>INDEX($A$87:$H$100,MATCH($L91,$B$87:$B$100,0),MATCH($AO$86,$A$87:$H$87,0))*고양시_Modal_split!E$3 * 0.01</f>
        <v>4.4031324485798429</v>
      </c>
      <c r="AR91" s="303">
        <f>INDEX($A$87:$H$100,MATCH($L91,$B$87:$B$100,0),MATCH($AO$86,$A$87:$H$87,0))*고양시_Modal_split!F$3 * 0.01</f>
        <v>7.0960851587833327</v>
      </c>
      <c r="AS91" s="303">
        <f>INDEX($A$87:$H$100,MATCH($L91,$B$87:$B$100,0),MATCH($AO$86,$A$87:$H$87,0))*고양시_Modal_split!G$3 * 0.01</f>
        <v>0.71193002683540518</v>
      </c>
      <c r="AT91" s="303">
        <f>INDEX($A$87:$H$100,MATCH($L91,$B$87:$B$100,0),MATCH($AO$86,$A$87:$H$87,0))*고양시_Modal_split!H$3 * 0.01</f>
        <v>7.7383698569065788E-3</v>
      </c>
      <c r="AU91" s="303">
        <f>INDEX($A$87:$H$100,MATCH($L91,$B$87:$B$100,0),MATCH($AO$86,$A$87:$H$87,0))*고양시_Modal_split!I$3 * 0.01</f>
        <v>2.1512668202200289</v>
      </c>
      <c r="AV91" s="303">
        <f>INDEX($A$87:$H$100,MATCH($L91,$B$87:$B$100,0),MATCH($AO$86,$A$87:$H$87,0))*고양시_Modal_split!J$3 * 0.01</f>
        <v>23.555597844423627</v>
      </c>
      <c r="AW91" s="303">
        <f>INDEX($A$87:$H$100,MATCH($L91,$B$87:$B$100,0),MATCH($AO$86,$A$87:$H$87,0))*고양시_Modal_split!K$3 * 0.01</f>
        <v>0.11607554785359868</v>
      </c>
      <c r="AX91" s="303">
        <f>INDEX($A$87:$H$100,MATCH($L91,$B$87:$B$100,0),MATCH($AO$86,$A$87:$H$87,0))*고양시_Modal_split!L$3 * 0.01</f>
        <v>2.336987696785787</v>
      </c>
      <c r="AY91" s="303">
        <f>INDEX($A$87:$H$100,MATCH($L91,$B$87:$B$100,0),MATCH($AO$86,$A$87:$H$87,0))*고양시_Modal_split!M$3 * 0.01</f>
        <v>0.1779825067088513</v>
      </c>
      <c r="AZ91" s="303">
        <f>INDEX($A$87:$H$100,MATCH($L91,$B$87:$B$100,0),MATCH($AO$86,$A$87:$H$87,0))*고양시_Modal_split!N$3 * 0.01</f>
        <v>7.7383698569065795E-2</v>
      </c>
      <c r="BA91" s="207">
        <f>INDEX($A$87:$H$100,MATCH($L91,$B$87:$B$100,0),MATCH($AO$86,$A$87:$H$87,0))*고양시_Modal_split!O$3 * 0.01</f>
        <v>0.1392906574243184</v>
      </c>
      <c r="BB91" s="207">
        <f>INDEX($A$87:$H$100,MATCH($L91,$B$87:$B$100,0),MATCH($AO$86,$A$87:$H$87,0))*고양시_Modal_split!P$3 * 0.01</f>
        <v>77.383698569065785</v>
      </c>
      <c r="BC91" s="207">
        <f>INDEX($A$87:$H$100,MATCH($L91,$B$87:$B$100,0),MATCH($BC$86,$A$87:$H$87,0))*고양시_Modal_split!C$3 * 0.01</f>
        <v>3.4050448820332704E-4</v>
      </c>
      <c r="BD91" s="207">
        <f>INDEX($A$87:$H$100,MATCH($L91,$B$87:$B$100,0),MATCH($BC$86,$A$87:$H$87,0))*고양시_Modal_split!D$3 * 0.01</f>
        <v>5.7192593143580259E-2</v>
      </c>
      <c r="BE91" s="207">
        <f>INDEX($A$87:$H$100,MATCH($L91,$B$87:$B$100,0),MATCH($BC$86,$A$87:$H$87,0))*고양시_Modal_split!E$3 * 0.01</f>
        <v>6.9195376352747529E-3</v>
      </c>
      <c r="BF91" s="207">
        <f>INDEX($A$87:$H$100,MATCH($L91,$B$87:$B$100,0),MATCH($BC$86,$A$87:$H$87,0))*고양시_Modal_split!F$3 * 0.01</f>
        <v>1.1151521988658961E-2</v>
      </c>
      <c r="BG91" s="207">
        <f>INDEX($A$87:$H$100,MATCH($L91,$B$87:$B$100,0),MATCH($BC$86,$A$87:$H$87,0))*고양시_Modal_split!G$3 * 0.01</f>
        <v>1.1188004612395031E-3</v>
      </c>
      <c r="BH91" s="207">
        <f>INDEX($A$87:$H$100,MATCH($L91,$B$87:$B$100,0),MATCH($BC$86,$A$87:$H$87,0))*고양시_Modal_split!H$3 * 0.01</f>
        <v>1.2160874578690253E-5</v>
      </c>
      <c r="BI91" s="207">
        <f>INDEX($A$87:$H$100,MATCH($L91,$B$87:$B$100,0),MATCH($BC$86,$A$87:$H$87,0))*고양시_Modal_split!I$3 * 0.01</f>
        <v>3.3807231328758895E-3</v>
      </c>
      <c r="BJ91" s="207">
        <f>INDEX($A$87:$H$100,MATCH($L91,$B$87:$B$100,0),MATCH($BC$86,$A$87:$H$87,0))*고양시_Modal_split!J$3 * 0.01</f>
        <v>3.701770221753313E-2</v>
      </c>
      <c r="BK91" s="207">
        <f>INDEX($A$87:$H$100,MATCH($L91,$B$87:$B$100,0),MATCH($BC$86,$A$87:$H$87,0))*고양시_Modal_split!K$3 * 0.01</f>
        <v>1.8241311868035377E-4</v>
      </c>
      <c r="BL91" s="207">
        <f>INDEX($A$87:$H$100,MATCH($L91,$B$87:$B$100,0),MATCH($BC$86,$A$87:$H$87,0))*고양시_Modal_split!L$3 * 0.01</f>
        <v>3.6725841227644562E-3</v>
      </c>
      <c r="BM91" s="207">
        <f>INDEX($A$87:$H$100,MATCH($L91,$B$87:$B$100,0),MATCH($BC$86,$A$87:$H$87,0))*고양시_Modal_split!M$3 * 0.01</f>
        <v>2.7970011530987577E-4</v>
      </c>
      <c r="BN91" s="207">
        <f>INDEX($A$87:$H$100,MATCH($L91,$B$87:$B$100,0),MATCH($BC$86,$A$87:$H$87,0))*고양시_Modal_split!N$3 * 0.01</f>
        <v>1.2160874578690252E-4</v>
      </c>
      <c r="BO91" s="207">
        <f>INDEX($A$87:$H$100,MATCH($L91,$B$87:$B$100,0),MATCH($BC$86,$A$87:$H$87,0))*고양시_Modal_split!O$3 * 0.01</f>
        <v>2.1889574241642452E-4</v>
      </c>
      <c r="BP91" s="207">
        <f>INDEX($A$87:$H$100,MATCH($L91,$B$87:$B$100,0),MATCH($BC$86,$A$87:$H$87,0))*고양시_Modal_split!P$3 * 0.01</f>
        <v>0.12160874578690253</v>
      </c>
      <c r="BQ91" s="207">
        <f>INDEX($A$87:$H$100,MATCH($L91,$B$87:$B$100,0),MATCH($BQ$86,$A$87:$H$87,0))*고양시_Modal_split!C$3 * 0.01</f>
        <v>1.2863502887681291E-3</v>
      </c>
      <c r="BR91" s="207">
        <f>INDEX($A$87:$H$100,MATCH($L91,$B$87:$B$100,0),MATCH($BQ$86,$A$87:$H$87,0))*고양시_Modal_split!D$3 * 0.01</f>
        <v>0.21606090743130399</v>
      </c>
      <c r="BS91" s="207">
        <f>INDEX($A$87:$H$100,MATCH($L91,$B$87:$B$100,0),MATCH($BQ$86,$A$87:$H$87,0))*고양시_Modal_split!E$3 * 0.01</f>
        <v>2.6140475511038052E-2</v>
      </c>
      <c r="BT91" s="207">
        <f>INDEX($A$87:$H$100,MATCH($L91,$B$87:$B$100,0),MATCH($BQ$86,$A$87:$H$87,0))*고양시_Modal_split!F$3 * 0.01</f>
        <v>4.2127971957156223E-2</v>
      </c>
      <c r="BU91" s="207">
        <f>INDEX($A$87:$H$100,MATCH($L91,$B$87:$B$100,0),MATCH($BQ$86,$A$87:$H$87,0))*고양시_Modal_split!G$3 * 0.01</f>
        <v>4.2265795202381384E-3</v>
      </c>
      <c r="BV91" s="207">
        <f>INDEX($A$87:$H$100,MATCH($L91,$B$87:$B$100,0),MATCH($BQ$86,$A$87:$H$87,0))*고양시_Modal_split!H$3 * 0.01</f>
        <v>4.5941081741718902E-5</v>
      </c>
      <c r="BW91" s="207">
        <f>INDEX($A$87:$H$100,MATCH($L91,$B$87:$B$100,0),MATCH($BQ$86,$A$87:$H$87,0))*고양시_Modal_split!I$3 * 0.01</f>
        <v>1.2771620724197852E-2</v>
      </c>
      <c r="BX91" s="207">
        <f>INDEX($A$87:$H$100,MATCH($L91,$B$87:$B$100,0),MATCH($BQ$86,$A$87:$H$87,0))*고양시_Modal_split!J$3 * 0.01</f>
        <v>0.13984465282179234</v>
      </c>
      <c r="BY91" s="207">
        <f>INDEX($A$87:$H$100,MATCH($L91,$B$87:$B$100,0),MATCH($BQ$86,$A$87:$H$87,0))*고양시_Modal_split!K$3 * 0.01</f>
        <v>6.8911622612578339E-4</v>
      </c>
      <c r="BZ91" s="207">
        <f>INDEX($A$87:$H$100,MATCH($L91,$B$87:$B$100,0),MATCH($BQ$86,$A$87:$H$87,0))*고양시_Modal_split!L$3 * 0.01</f>
        <v>1.3874206685999107E-2</v>
      </c>
      <c r="CA91" s="207">
        <f>INDEX($A$87:$H$100,MATCH($L91,$B$87:$B$100,0),MATCH($BQ$86,$A$87:$H$87,0))*고양시_Modal_split!M$3 * 0.01</f>
        <v>1.0566448800595346E-3</v>
      </c>
      <c r="CB91" s="207">
        <f>INDEX($A$87:$H$100,MATCH($L91,$B$87:$B$100,0),MATCH($BQ$86,$A$87:$H$87,0))*고양시_Modal_split!N$3 * 0.01</f>
        <v>4.5941081741718905E-4</v>
      </c>
      <c r="CC91" s="207">
        <f>INDEX($A$87:$H$100,MATCH($L91,$B$87:$B$100,0),MATCH($BQ$86,$A$87:$H$87,0))*고양시_Modal_split!O$3 * 0.01</f>
        <v>8.2693947135094011E-4</v>
      </c>
      <c r="CD91" s="207">
        <f>INDEX($A$87:$H$100,MATCH($L91,$B$87:$B$100,0),MATCH($BQ$86,$A$87:$H$87,0))*고양시_Modal_split!P$3 * 0.01</f>
        <v>0.45941081741718898</v>
      </c>
      <c r="CE91" s="304">
        <f t="shared" si="69"/>
        <v>4.5171325405053544</v>
      </c>
      <c r="CF91" s="304">
        <f t="shared" si="51"/>
        <v>758.71694064273856</v>
      </c>
      <c r="CG91" s="304">
        <f t="shared" si="52"/>
        <v>91.794586269555225</v>
      </c>
      <c r="CH91" s="304">
        <f t="shared" si="53"/>
        <v>147.93609070155034</v>
      </c>
      <c r="CI91" s="304">
        <f t="shared" si="54"/>
        <v>14.842006918803309</v>
      </c>
      <c r="CJ91" s="304">
        <f t="shared" si="55"/>
        <v>0.16132616216090551</v>
      </c>
      <c r="CK91" s="304">
        <f t="shared" si="56"/>
        <v>44.848673080731736</v>
      </c>
      <c r="CL91" s="304">
        <f t="shared" si="57"/>
        <v>491.07683761779646</v>
      </c>
      <c r="CM91" s="304">
        <f t="shared" si="58"/>
        <v>2.4198924324135831</v>
      </c>
      <c r="CN91" s="304">
        <f t="shared" si="59"/>
        <v>48.72050097259347</v>
      </c>
      <c r="CO91" s="304">
        <f t="shared" si="60"/>
        <v>3.7105017297008271</v>
      </c>
      <c r="CP91" s="304">
        <f t="shared" si="61"/>
        <v>1.6132616216090552</v>
      </c>
      <c r="CQ91" s="304">
        <f t="shared" si="62"/>
        <v>2.9038709188962994</v>
      </c>
      <c r="CR91" s="304">
        <f t="shared" si="63"/>
        <v>1613.2616216090553</v>
      </c>
      <c r="CS91" s="305">
        <f t="shared" si="70"/>
        <v>0</v>
      </c>
      <c r="CV91" s="265" t="s">
        <v>606</v>
      </c>
      <c r="CW91" s="265" t="s">
        <v>610</v>
      </c>
      <c r="CX91" s="267">
        <f>INDEX($M$86:$Z$100,MATCH($CW91,$L$86:$L$100,0),MATCH(CX$87,$M$87:$Z$87,0))/INDEX(고양시_재차인원!$D$4:$H$35,MATCH("고양시",고양시_재차인원!$B$4:$B$35,0),MATCH($CX$86,고양시_재차인원!$D$4:$H$4,0))</f>
        <v>78.265340260173446</v>
      </c>
      <c r="CY91" s="267">
        <f>INDEX($M$86:$Z$100,MATCH($CW91,$L$86:$L$100,0),MATCH(CY$87,$M$87:$Z$87,0))/INDEX(고양시_재차인원!$K$4:$O$20,MATCH("경기도",고양시_재차인원!$K$4:$K$20,0),MATCH($CY$87,고양시_재차인원!$K$4:$O$4,0))</f>
        <v>6.4739725961349939E-4</v>
      </c>
      <c r="CZ91" s="267">
        <f>INDEX($M$86:$Z$100,MATCH($CW91,$L$86:$L$100,0),MATCH(CZ$87,$M$87:$Z$87,0))/INDEX(고양시_재차인원!$K$4:$O$20,MATCH("경기도",고양시_재차인원!$K$4:$K$20,0),MATCH($CZ$87,고양시_재차인원!$K$4:$O$4,0))</f>
        <v>0.17997643817255285</v>
      </c>
      <c r="DA91" s="267">
        <f>INDEX($M$86:$Z$100,MATCH($CW91,$L$86:$L$100,0),MATCH(DA$87,$M$87:$Z$87,0))/INDEX(고양시_재차인원!$D$4:$H$35,MATCH("고양시",고양시_재차인원!$B$4:$B$35,0),MATCH($CX$86,고양시_재차인원!$D$4:$H$4,0))</f>
        <v>5.025756487044946</v>
      </c>
      <c r="DB91" s="267">
        <f>INDEX($AA$86:$AN$100,MATCH($CW91,$L$86:$L$100,0),MATCH(DB$87,$AA$87:$AN$87,0))/INDEX(고양시_재차인원!$D$4:$H$35,MATCH("고양시",고양시_재차인원!$B$4:$B$35,0),MATCH($DB$86,고양시_재차인원!$D$4:$H$4,0))</f>
        <v>449.9240798678992</v>
      </c>
      <c r="DC91" s="267">
        <f>INDEX($AA$86:$AN$100,MATCH($CW91,$L$86:$L$100,0),MATCH(DC$87,$AA$87:$AN$87,0))/INDEX(고양시_재차인원!$K$4:$O$20,MATCH("경기도",고양시_재차인원!$K$4:$K$20,0),MATCH(DC$87,고양시_재차인원!$K$4:$O$4,0))</f>
        <v>4.6853464134562657E-3</v>
      </c>
      <c r="DD91" s="267">
        <f>INDEX($AA$86:$AN$100,MATCH($CW91,$L$86:$L$100,0),MATCH(DD$87,$AA$87:$AN$87,0))/INDEX(고양시_재차인원!$K$4:$O$20,MATCH("경기도",고양시_재차인원!$K$4:$K$20,0),MATCH(DD$87,고양시_재차인원!$K$4:$O$4,0))</f>
        <v>1.3025263029408418</v>
      </c>
      <c r="DE91" s="267">
        <f>INDEX($AA$86:$AN$100,MATCH($CW91,$L$86:$L$100,0),MATCH(DE$87,$AA$87:$AN$87,0))/INDEX(고양시_재차인원!$D$4:$H$35,MATCH("고양시",고양시_재차인원!$B$4:$B$35,0),MATCH($DB$86,고양시_재차인원!$D$4:$H$4,0))</f>
        <v>28.891573914545091</v>
      </c>
      <c r="DF91" s="267">
        <f>INDEX($AO$86:$BB$100,MATCH($CW91,$L$86:$L$100,0),MATCH(DF$87,$AO$87:$BB$87,0))/INDEX(고양시_재차인원!$D$4:$H$35,MATCH("고양시",고양시_재차인원!$B$4:$B$35,0),MATCH($DF$86,고양시_재차인원!$D$4:$H$4,0))</f>
        <v>27.995041105408955</v>
      </c>
      <c r="DG91" s="267">
        <f>INDEX($AO$86:$BB$100,MATCH($CW91,$L$86:$L$100,0),MATCH(DG$87,$AO$87:$BB$87,0))/INDEX(고양시_재차인원!$K$4:$O$20,MATCH("경기도",고양시_재차인원!$K$4:$K$20,0),MATCH(DG$87,고양시_재차인원!$K$4:$O$4,0))</f>
        <v>2.6878672653374709E-4</v>
      </c>
      <c r="DH91" s="267">
        <f>INDEX($AO$86:$BB$100,MATCH($CW91,$L$86:$L$100,0),MATCH(DH$87,$AO$87:$BB$87,0))/INDEX(고양시_재차인원!$K$4:$O$20,MATCH("경기도",고양시_재차인원!$K$4:$K$20,0),MATCH(DH$87,고양시_재차인원!$K$4:$O$4,0))</f>
        <v>7.4722709976381696E-2</v>
      </c>
      <c r="DI91" s="267">
        <f>INDEX($AO$86:$BB$100,MATCH($CW91,$L$86:$L$100,0),MATCH(DI$87,$AO$87:$BB$87,0))/INDEX(고양시_재차인원!$D$4:$H$35,MATCH("고양시",고양시_재차인원!$B$4:$B$35,0),MATCH($DF$86,고양시_재차인원!$D$4:$H$4,0))</f>
        <v>1.7976828436813745</v>
      </c>
      <c r="DJ91" s="267">
        <f>INDEX($BC$86:$BP$100,MATCH($CW91,$L$86:$L$100,0),MATCH(DJ$87,$BC$87:$BP$87,0))/INDEX(고양시_재차인원!$D$4:$H$35,MATCH("고양시",고양시_재차인원!$B$4:$B$35,0),MATCH($DJ$86,고양시_재차인원!$D$4:$H$4,0))</f>
        <v>4.2053377311456072E-2</v>
      </c>
      <c r="DK91" s="267">
        <f>INDEX($BC$86:$BP$100,MATCH($CW91,$L$86:$L$100,0),MATCH(DK$87,$BC$87:$BP$87,0))/INDEX(고양시_재차인원!$K$4:$O$20,MATCH("경기도",고양시_재차인원!$K$4:$K$20,0),MATCH(DK$87,고양시_재차인원!$K$4:$O$4,0))</f>
        <v>4.2239925594617066E-7</v>
      </c>
      <c r="DL91" s="267">
        <f>INDEX($BC$86:$BP$100,MATCH($CW91,$L$86:$L$100,0),MATCH(DL$87,$BC$87:$BP$87,0))/INDEX(고양시_재차인원!$K$4:$O$20,MATCH("경기도",고양시_재차인원!$K$4:$K$20,0),MATCH(DL$87,고양시_재차인원!$K$4:$O$4,0))</f>
        <v>1.1742699315303542E-4</v>
      </c>
      <c r="DM91" s="267">
        <f>INDEX($BC$86:$BP$100,MATCH($CW91,$L$86:$L$100,0),MATCH(DM$87,$BC$87:$BP$87,0))/INDEX(고양시_재차인원!$D$4:$H$35,MATCH("고양시",고양시_재차인원!$B$4:$B$35,0),MATCH($DJ$86,고양시_재차인원!$D$4:$H$4,0))</f>
        <v>2.7004295020326883E-3</v>
      </c>
      <c r="DN91" s="267">
        <f>INDEX($BQ$86:$CD$100,MATCH($CW91,$L$86:$L$100,0),MATCH(DN$87,$BQ$87:$CD$87,0))/INDEX(고양시_재차인원!$D$4:$H$35,MATCH("고양시",고양시_재차인원!$B$4:$B$35,0),MATCH($DN$86,고양시_재차인원!$D$4:$H$4,0))</f>
        <v>0.17147691065976506</v>
      </c>
      <c r="DO91" s="267">
        <f>INDEX($BQ$86:$CD$100,MATCH($CW91,$L$86:$L$100,0),MATCH(DO$87,$BQ$87:$CD$87,0))/INDEX(고양시_재차인원!$K$4:$O$20,MATCH("경기도",고양시_재차인원!$K$4:$K$20,0),MATCH(DO$87,고양시_재차인원!$K$4:$O$4,0))</f>
        <v>1.5957305224633173E-6</v>
      </c>
      <c r="DP91" s="267">
        <f>INDEX($BQ$86:$CD$100,MATCH($CW91,$L$86:$L$100,0),MATCH(DP$87,$BQ$87:$CD$87,0))/INDEX(고양시_재차인원!$K$4:$O$20,MATCH("경기도",고양시_재차인원!$K$4:$K$20,0),MATCH(DP$87,고양시_재차인원!$K$4:$O$4,0))</f>
        <v>4.4361308524480209E-4</v>
      </c>
      <c r="DQ91" s="267">
        <f>INDEX($BQ$86:$CD$100,MATCH($CW91,$L$86:$L$100,0),MATCH(DQ$87,$BQ$87:$CD$87,0))/INDEX(고양시_재차인원!$D$4:$H$35,MATCH("고양시",고양시_재차인원!$B$4:$B$35,0),MATCH($DN$86,고양시_재차인원!$D$4:$H$4,0))</f>
        <v>1.1011275147618339E-2</v>
      </c>
      <c r="DR91" s="270">
        <f t="shared" si="71"/>
        <v>556.39799152145292</v>
      </c>
      <c r="DS91" s="270">
        <f t="shared" si="64"/>
        <v>5.603548529381921E-3</v>
      </c>
      <c r="DT91" s="270">
        <f t="shared" si="65"/>
        <v>1.557786491168174</v>
      </c>
      <c r="DU91" s="270">
        <f t="shared" si="66"/>
        <v>35.728724949921059</v>
      </c>
      <c r="DW91" s="278" t="s">
        <v>606</v>
      </c>
      <c r="DX91" s="278" t="s">
        <v>610</v>
      </c>
      <c r="DY91" s="281">
        <f t="shared" si="72"/>
        <v>592.12671647137404</v>
      </c>
      <c r="DZ91" s="281">
        <f t="shared" si="73"/>
        <v>1.563390039697556</v>
      </c>
      <c r="EB91" s="278" t="s">
        <v>623</v>
      </c>
      <c r="EC91" s="278" t="s">
        <v>610</v>
      </c>
      <c r="ED91" s="309">
        <f t="shared" si="74"/>
        <v>695.34367846607267</v>
      </c>
      <c r="EE91" s="309">
        <f t="shared" si="67"/>
        <v>1.8359134131943409</v>
      </c>
      <c r="EK91" s="420" t="s">
        <v>623</v>
      </c>
      <c r="EL91" s="420" t="s">
        <v>639</v>
      </c>
      <c r="EM91" s="420" t="s">
        <v>76</v>
      </c>
      <c r="EN91" s="420">
        <v>38408.5</v>
      </c>
      <c r="EO91" s="420">
        <v>1</v>
      </c>
      <c r="EP91" s="421">
        <v>849004</v>
      </c>
      <c r="EQ91" s="422">
        <f t="shared" si="75"/>
        <v>808.41051154258628</v>
      </c>
      <c r="ER91" s="422">
        <f t="shared" si="76"/>
        <v>2.1344433658797533</v>
      </c>
      <c r="ES91">
        <v>0</v>
      </c>
      <c r="EU91" s="306" t="s">
        <v>623</v>
      </c>
      <c r="EV91" s="306" t="s">
        <v>199</v>
      </c>
      <c r="EW91" s="306" t="s">
        <v>76</v>
      </c>
      <c r="EX91" s="306">
        <v>38408.5</v>
      </c>
      <c r="EY91" s="306">
        <v>1</v>
      </c>
      <c r="EZ91" s="307">
        <v>849004</v>
      </c>
      <c r="FA91" s="308">
        <f t="shared" si="77"/>
        <v>808.41051154258628</v>
      </c>
      <c r="FB91" s="308">
        <f t="shared" si="68"/>
        <v>2.1344433658797533</v>
      </c>
      <c r="FD91" s="101"/>
      <c r="FE91" s="101"/>
      <c r="FF91" s="101"/>
      <c r="FG91" s="101"/>
      <c r="FH91" s="101"/>
      <c r="FI91" s="374"/>
      <c r="FJ91" s="404"/>
      <c r="FK91" s="404"/>
    </row>
    <row r="92" spans="1:167">
      <c r="A92" s="205" t="s">
        <v>12</v>
      </c>
      <c r="B92" s="205" t="s">
        <v>12</v>
      </c>
      <c r="C92" s="201">
        <f>$K33*KTDB_TripDistribution_2025!T$12</f>
        <v>23.11014379991849</v>
      </c>
      <c r="D92" s="201">
        <f>$K33*KTDB_TripDistribution_2025!U$12</f>
        <v>167.25283859256672</v>
      </c>
      <c r="E92" s="201">
        <f>$K33*KTDB_TripDistribution_2025!V$12</f>
        <v>9.5948813645159525</v>
      </c>
      <c r="F92" s="201">
        <f>$K33*KTDB_TripDistribution_2025!W$12</f>
        <v>1.5078388734179049E-2</v>
      </c>
      <c r="G92" s="201">
        <f>$K33*KTDB_TripDistribution_2025!X$12</f>
        <v>5.6962801884676617E-2</v>
      </c>
      <c r="H92" s="201">
        <f>$K33*KTDB_TripDistribution_2025!Y$12</f>
        <v>200.02990494762008</v>
      </c>
      <c r="J92" s="230">
        <f t="shared" si="50"/>
        <v>200.02990494762003</v>
      </c>
      <c r="K92" s="206" t="s">
        <v>12</v>
      </c>
      <c r="L92" s="206" t="s">
        <v>12</v>
      </c>
      <c r="M92" s="206">
        <f>INDEX($A$87:$H$100,MATCH($L92,$B$87:$B$100,0),MATCH($M$86,$A$87:$H$87,0))*고양시_Modal_split!C$3 * 0.01</f>
        <v>6.4708402639771762E-2</v>
      </c>
      <c r="N92" s="206">
        <f>INDEX($A$87:$H$100,MATCH($L92,$B$87:$B$100,0),MATCH($M$86,$A$87:$H$87,0))*고양시_Modal_split!D$3 * 0.01</f>
        <v>10.868700629101665</v>
      </c>
      <c r="O92" s="206">
        <f>INDEX($A$87:$H$100,MATCH($L92,$B$87:$B$100,0),MATCH($M$86,$A$87:$H$87,0))*고양시_Modal_split!E$3 * 0.01</f>
        <v>1.3149671822153619</v>
      </c>
      <c r="P92" s="206">
        <f>INDEX($A$87:$H$100,MATCH($L92,$B$87:$B$100,0),MATCH($M$86,$A$87:$H$87,0))*고양시_Modal_split!F$3 * 0.01</f>
        <v>2.1192001864525256</v>
      </c>
      <c r="Q92" s="206">
        <f>INDEX($A$87:$H$100,MATCH($L92,$B$87:$B$100,0),MATCH($M$86,$A$87:$H$87,0))*고양시_Modal_split!G$3 * 0.01</f>
        <v>0.21261332295925009</v>
      </c>
      <c r="R92" s="206">
        <f>INDEX($A$87:$H$100,MATCH($L92,$B$87:$B$100,0),MATCH($M$86,$A$87:$H$87,0))*고양시_Modal_split!H$3 * 0.01</f>
        <v>2.3110143799918489E-3</v>
      </c>
      <c r="S92" s="206">
        <f>INDEX($A$87:$H$100,MATCH($L92,$B$87:$B$100,0),MATCH($M$86,$A$87:$H$87,0))*고양시_Modal_split!I$3 * 0.01</f>
        <v>0.64246199763773393</v>
      </c>
      <c r="T92" s="206">
        <f>INDEX($A$87:$H$100,MATCH($L92,$B$87:$B$100,0),MATCH($M$86,$A$87:$H$87,0))*고양시_Modal_split!J$3 * 0.01</f>
        <v>7.034727772695188</v>
      </c>
      <c r="U92" s="206">
        <f>INDEX($A$87:$H$100,MATCH($L92,$B$87:$B$100,0),MATCH($M$86,$A$87:$H$87,0))*고양시_Modal_split!K$3 * 0.01</f>
        <v>3.4665215699877731E-2</v>
      </c>
      <c r="V92" s="206">
        <f>INDEX($A$87:$H$100,MATCH($L92,$B$87:$B$100,0),MATCH($M$86,$A$87:$H$87,0))*고양시_Modal_split!L$3 * 0.01</f>
        <v>0.6979263427575384</v>
      </c>
      <c r="W92" s="206">
        <f>INDEX($A$87:$H$100,MATCH($L92,$B$87:$B$100,0),MATCH($M$86,$A$87:$H$87,0))*고양시_Modal_split!M$3 * 0.01</f>
        <v>5.3153330739812522E-2</v>
      </c>
      <c r="X92" s="206">
        <f>INDEX($A$87:$H$100,MATCH($L92,$B$87:$B$100,0),MATCH($M$86,$A$87:$H$87,0))*고양시_Modal_split!N$3 * 0.01</f>
        <v>2.3110143799918492E-2</v>
      </c>
      <c r="Y92" s="206">
        <f>INDEX($A$87:$H$100,MATCH($L92,$B$87:$B$100,0),MATCH($M$86,$A$87:$H$87,0))*고양시_Modal_split!O$3 * 0.01</f>
        <v>4.1598258839853283E-2</v>
      </c>
      <c r="Z92" s="209">
        <f>INDEX($A$87:$H$100,MATCH($L92,$B$87:$B$100,0),MATCH($M$86,$A$87:$H$87,0))*고양시_Modal_split!P$3 * 0.01</f>
        <v>23.110143799918486</v>
      </c>
      <c r="AA92" s="207">
        <f>INDEX($A$87:$H$100,MATCH($L92,$B$87:$B$100,0),MATCH($AA$86,$A$87:$H$87,0))*고양시_Modal_split!C$3 * 0.01</f>
        <v>0.4683079480591868</v>
      </c>
      <c r="AB92" s="207">
        <f>INDEX($A$87:$H$100,MATCH($L92,$B$87:$B$100,0),MATCH($AA$86,$A$87:$H$87,0))*고양시_Modal_split!D$3 * 0.01</f>
        <v>78.65900999008413</v>
      </c>
      <c r="AC92" s="207">
        <f>INDEX($A$87:$H$100,MATCH($L92,$B$87:$B$100,0),MATCH($AA$86,$A$87:$H$87,0))*고양시_Modal_split!E$3 * 0.01</f>
        <v>9.516686515917046</v>
      </c>
      <c r="AD92" s="207">
        <f>INDEX($A$87:$H$100,MATCH($L92,$B$87:$B$100,0),MATCH($AA$86,$A$87:$H$87,0))*고양시_Modal_split!F$3 * 0.01</f>
        <v>15.337085298938369</v>
      </c>
      <c r="AE92" s="207">
        <f>INDEX($A$87:$H$100,MATCH($L92,$B$87:$B$100,0),MATCH($AA$86,$A$87:$H$87,0))*고양시_Modal_split!G$3 * 0.01</f>
        <v>1.5387261150516136</v>
      </c>
      <c r="AF92" s="207">
        <f>INDEX($A$87:$H$100,MATCH($L92,$B$87:$B$100,0),MATCH($AA$86,$A$87:$H$87,0))*고양시_Modal_split!H$3 * 0.01</f>
        <v>1.6725283859256673E-2</v>
      </c>
      <c r="AG92" s="207">
        <f>INDEX($A$87:$H$100,MATCH($L92,$B$87:$B$100,0),MATCH($AA$86,$A$87:$H$87,0))*고양시_Modal_split!I$3 * 0.01</f>
        <v>4.6496289128733546</v>
      </c>
      <c r="AH92" s="207">
        <f>INDEX($A$87:$H$100,MATCH($L92,$B$87:$B$100,0),MATCH($AA$86,$A$87:$H$87,0))*고양시_Modal_split!J$3 * 0.01</f>
        <v>50.911764067577316</v>
      </c>
      <c r="AI92" s="207">
        <f>INDEX($A$87:$H$100,MATCH($L92,$B$87:$B$100,0),MATCH($AA$86,$A$87:$H$87,0))*고양시_Modal_split!K$3 * 0.01</f>
        <v>0.25087925788885007</v>
      </c>
      <c r="AJ92" s="207">
        <f>INDEX($A$87:$H$100,MATCH($L92,$B$87:$B$100,0),MATCH($AA$86,$A$87:$H$87,0))*고양시_Modal_split!L$3 * 0.01</f>
        <v>5.0510357254955149</v>
      </c>
      <c r="AK92" s="207">
        <f>INDEX($A$87:$H$100,MATCH($L92,$B$87:$B$100,0),MATCH($AA$86,$A$87:$H$87,0))*고양시_Modal_split!M$3 * 0.01</f>
        <v>0.3846815287629034</v>
      </c>
      <c r="AL92" s="207">
        <f>INDEX($A$87:$H$100,MATCH($L92,$B$87:$B$100,0),MATCH($AA$86,$A$87:$H$87,0))*고양시_Modal_split!N$3 * 0.01</f>
        <v>0.16725283859256673</v>
      </c>
      <c r="AM92" s="207">
        <f>INDEX($A$87:$H$100,MATCH($L92,$B$87:$B$100,0),MATCH($AA$86,$A$87:$H$87,0))*고양시_Modal_split!O$3 * 0.01</f>
        <v>0.30105510946662006</v>
      </c>
      <c r="AN92" s="207">
        <f>INDEX($A$87:$H$100,MATCH($L92,$B$87:$B$100,0),MATCH($AA$86,$A$87:$H$87,0))*고양시_Modal_split!P$3 * 0.01</f>
        <v>167.25283859256675</v>
      </c>
      <c r="AO92" s="303">
        <f>INDEX($A$87:$H$100,MATCH($L92,$B$87:$B$100,0),MATCH($AO$86,$A$87:$H$87,0))*고양시_Modal_split!C$3 * 0.01</f>
        <v>2.6865667820644666E-2</v>
      </c>
      <c r="AP92" s="303">
        <f>INDEX($A$87:$H$100,MATCH($L92,$B$87:$B$100,0),MATCH($AO$86,$A$87:$H$87,0))*고양시_Modal_split!D$3 * 0.01</f>
        <v>4.5124727057318523</v>
      </c>
      <c r="AQ92" s="303">
        <f>INDEX($A$87:$H$100,MATCH($L92,$B$87:$B$100,0),MATCH($AO$86,$A$87:$H$87,0))*고양시_Modal_split!E$3 * 0.01</f>
        <v>0.54594874964095763</v>
      </c>
      <c r="AR92" s="303">
        <f>INDEX($A$87:$H$100,MATCH($L92,$B$87:$B$100,0),MATCH($AO$86,$A$87:$H$87,0))*고양시_Modal_split!F$3 * 0.01</f>
        <v>0.8798506211261129</v>
      </c>
      <c r="AS92" s="303">
        <f>INDEX($A$87:$H$100,MATCH($L92,$B$87:$B$100,0),MATCH($AO$86,$A$87:$H$87,0))*고양시_Modal_split!G$3 * 0.01</f>
        <v>8.8272908553546761E-2</v>
      </c>
      <c r="AT92" s="303">
        <f>INDEX($A$87:$H$100,MATCH($L92,$B$87:$B$100,0),MATCH($AO$86,$A$87:$H$87,0))*고양시_Modal_split!H$3 * 0.01</f>
        <v>9.5948813645159534E-4</v>
      </c>
      <c r="AU92" s="303">
        <f>INDEX($A$87:$H$100,MATCH($L92,$B$87:$B$100,0),MATCH($AO$86,$A$87:$H$87,0))*고양시_Modal_split!I$3 * 0.01</f>
        <v>0.26673770193354346</v>
      </c>
      <c r="AV92" s="303">
        <f>INDEX($A$87:$H$100,MATCH($L92,$B$87:$B$100,0),MATCH($AO$86,$A$87:$H$87,0))*고양시_Modal_split!J$3 * 0.01</f>
        <v>2.920681887358656</v>
      </c>
      <c r="AW92" s="303">
        <f>INDEX($A$87:$H$100,MATCH($L92,$B$87:$B$100,0),MATCH($AO$86,$A$87:$H$87,0))*고양시_Modal_split!K$3 * 0.01</f>
        <v>1.4392322046773929E-2</v>
      </c>
      <c r="AX92" s="303">
        <f>INDEX($A$87:$H$100,MATCH($L92,$B$87:$B$100,0),MATCH($AO$86,$A$87:$H$87,0))*고양시_Modal_split!L$3 * 0.01</f>
        <v>0.28976541720838178</v>
      </c>
      <c r="AY92" s="303">
        <f>INDEX($A$87:$H$100,MATCH($L92,$B$87:$B$100,0),MATCH($AO$86,$A$87:$H$87,0))*고양시_Modal_split!M$3 * 0.01</f>
        <v>2.206822713838669E-2</v>
      </c>
      <c r="AZ92" s="303">
        <f>INDEX($A$87:$H$100,MATCH($L92,$B$87:$B$100,0),MATCH($AO$86,$A$87:$H$87,0))*고양시_Modal_split!N$3 * 0.01</f>
        <v>9.5948813645159534E-3</v>
      </c>
      <c r="BA92" s="207">
        <f>INDEX($A$87:$H$100,MATCH($L92,$B$87:$B$100,0),MATCH($AO$86,$A$87:$H$87,0))*고양시_Modal_split!O$3 * 0.01</f>
        <v>1.7270786456128714E-2</v>
      </c>
      <c r="BB92" s="207">
        <f>INDEX($A$87:$H$100,MATCH($L92,$B$87:$B$100,0),MATCH($AO$86,$A$87:$H$87,0))*고양시_Modal_split!P$3 * 0.01</f>
        <v>9.5948813645159525</v>
      </c>
      <c r="BC92" s="207">
        <f>INDEX($A$87:$H$100,MATCH($L92,$B$87:$B$100,0),MATCH($BC$86,$A$87:$H$87,0))*고양시_Modal_split!C$3 * 0.01</f>
        <v>4.2219488455701339E-5</v>
      </c>
      <c r="BD92" s="207">
        <f>INDEX($A$87:$H$100,MATCH($L92,$B$87:$B$100,0),MATCH($BC$86,$A$87:$H$87,0))*고양시_Modal_split!D$3 * 0.01</f>
        <v>7.0913662216844069E-3</v>
      </c>
      <c r="BE92" s="207">
        <f>INDEX($A$87:$H$100,MATCH($L92,$B$87:$B$100,0),MATCH($BC$86,$A$87:$H$87,0))*고양시_Modal_split!E$3 * 0.01</f>
        <v>8.5796031897478783E-4</v>
      </c>
      <c r="BF92" s="207">
        <f>INDEX($A$87:$H$100,MATCH($L92,$B$87:$B$100,0),MATCH($BC$86,$A$87:$H$87,0))*고양시_Modal_split!F$3 * 0.01</f>
        <v>1.3826882469242189E-3</v>
      </c>
      <c r="BG92" s="207">
        <f>INDEX($A$87:$H$100,MATCH($L92,$B$87:$B$100,0),MATCH($BC$86,$A$87:$H$87,0))*고양시_Modal_split!G$3 * 0.01</f>
        <v>1.3872117635444726E-4</v>
      </c>
      <c r="BH92" s="207">
        <f>INDEX($A$87:$H$100,MATCH($L92,$B$87:$B$100,0),MATCH($BC$86,$A$87:$H$87,0))*고양시_Modal_split!H$3 * 0.01</f>
        <v>1.507838873417905E-6</v>
      </c>
      <c r="BI92" s="207">
        <f>INDEX($A$87:$H$100,MATCH($L92,$B$87:$B$100,0),MATCH($BC$86,$A$87:$H$87,0))*고양시_Modal_split!I$3 * 0.01</f>
        <v>4.1917920681017754E-4</v>
      </c>
      <c r="BJ92" s="207">
        <f>INDEX($A$87:$H$100,MATCH($L92,$B$87:$B$100,0),MATCH($BC$86,$A$87:$H$87,0))*고양시_Modal_split!J$3 * 0.01</f>
        <v>4.5898615306841032E-3</v>
      </c>
      <c r="BK92" s="207">
        <f>INDEX($A$87:$H$100,MATCH($L92,$B$87:$B$100,0),MATCH($BC$86,$A$87:$H$87,0))*고양시_Modal_split!K$3 * 0.01</f>
        <v>2.2617583101268574E-5</v>
      </c>
      <c r="BL92" s="207">
        <f>INDEX($A$87:$H$100,MATCH($L92,$B$87:$B$100,0),MATCH($BC$86,$A$87:$H$87,0))*고양시_Modal_split!L$3 * 0.01</f>
        <v>4.5536733977220731E-4</v>
      </c>
      <c r="BM92" s="207">
        <f>INDEX($A$87:$H$100,MATCH($L92,$B$87:$B$100,0),MATCH($BC$86,$A$87:$H$87,0))*고양시_Modal_split!M$3 * 0.01</f>
        <v>3.4680294088611814E-5</v>
      </c>
      <c r="BN92" s="207">
        <f>INDEX($A$87:$H$100,MATCH($L92,$B$87:$B$100,0),MATCH($BC$86,$A$87:$H$87,0))*고양시_Modal_split!N$3 * 0.01</f>
        <v>1.507838873417905E-5</v>
      </c>
      <c r="BO92" s="207">
        <f>INDEX($A$87:$H$100,MATCH($L92,$B$87:$B$100,0),MATCH($BC$86,$A$87:$H$87,0))*고양시_Modal_split!O$3 * 0.01</f>
        <v>2.7141099721522286E-5</v>
      </c>
      <c r="BP92" s="207">
        <f>INDEX($A$87:$H$100,MATCH($L92,$B$87:$B$100,0),MATCH($BC$86,$A$87:$H$87,0))*고양시_Modal_split!P$3 * 0.01</f>
        <v>1.5078388734179049E-2</v>
      </c>
      <c r="BQ92" s="207">
        <f>INDEX($A$87:$H$100,MATCH($L92,$B$87:$B$100,0),MATCH($BQ$86,$A$87:$H$87,0))*고양시_Modal_split!C$3 * 0.01</f>
        <v>1.5949584527709452E-4</v>
      </c>
      <c r="BR92" s="207">
        <f>INDEX($A$87:$H$100,MATCH($L92,$B$87:$B$100,0),MATCH($BQ$86,$A$87:$H$87,0))*고양시_Modal_split!D$3 * 0.01</f>
        <v>2.6789605726363415E-2</v>
      </c>
      <c r="BS92" s="207">
        <f>INDEX($A$87:$H$100,MATCH($L92,$B$87:$B$100,0),MATCH($BQ$86,$A$87:$H$87,0))*고양시_Modal_split!E$3 * 0.01</f>
        <v>3.241183427238099E-3</v>
      </c>
      <c r="BT92" s="207">
        <f>INDEX($A$87:$H$100,MATCH($L92,$B$87:$B$100,0),MATCH($BQ$86,$A$87:$H$87,0))*고양시_Modal_split!F$3 * 0.01</f>
        <v>5.2234889328248461E-3</v>
      </c>
      <c r="BU92" s="207">
        <f>INDEX($A$87:$H$100,MATCH($L92,$B$87:$B$100,0),MATCH($BQ$86,$A$87:$H$87,0))*고양시_Modal_split!G$3 * 0.01</f>
        <v>5.2405777733902483E-4</v>
      </c>
      <c r="BV92" s="207">
        <f>INDEX($A$87:$H$100,MATCH($L92,$B$87:$B$100,0),MATCH($BQ$86,$A$87:$H$87,0))*고양시_Modal_split!H$3 * 0.01</f>
        <v>5.6962801884676618E-6</v>
      </c>
      <c r="BW92" s="207">
        <f>INDEX($A$87:$H$100,MATCH($L92,$B$87:$B$100,0),MATCH($BQ$86,$A$87:$H$87,0))*고양시_Modal_split!I$3 * 0.01</f>
        <v>1.5835658923940099E-3</v>
      </c>
      <c r="BX92" s="207">
        <f>INDEX($A$87:$H$100,MATCH($L92,$B$87:$B$100,0),MATCH($BQ$86,$A$87:$H$87,0))*고양시_Modal_split!J$3 * 0.01</f>
        <v>1.7339476893695561E-2</v>
      </c>
      <c r="BY92" s="207">
        <f>INDEX($A$87:$H$100,MATCH($L92,$B$87:$B$100,0),MATCH($BQ$86,$A$87:$H$87,0))*고양시_Modal_split!K$3 * 0.01</f>
        <v>8.5444202827014926E-5</v>
      </c>
      <c r="BZ92" s="207">
        <f>INDEX($A$87:$H$100,MATCH($L92,$B$87:$B$100,0),MATCH($BQ$86,$A$87:$H$87,0))*고양시_Modal_split!L$3 * 0.01</f>
        <v>1.7202766169172338E-3</v>
      </c>
      <c r="CA92" s="207">
        <f>INDEX($A$87:$H$100,MATCH($L92,$B$87:$B$100,0),MATCH($BQ$86,$A$87:$H$87,0))*고양시_Modal_split!M$3 * 0.01</f>
        <v>1.3101444433475621E-4</v>
      </c>
      <c r="CB92" s="207">
        <f>INDEX($A$87:$H$100,MATCH($L92,$B$87:$B$100,0),MATCH($BQ$86,$A$87:$H$87,0))*고양시_Modal_split!N$3 * 0.01</f>
        <v>5.6962801884676622E-5</v>
      </c>
      <c r="CC92" s="207">
        <f>INDEX($A$87:$H$100,MATCH($L92,$B$87:$B$100,0),MATCH($BQ$86,$A$87:$H$87,0))*고양시_Modal_split!O$3 * 0.01</f>
        <v>1.025330433924179E-4</v>
      </c>
      <c r="CD92" s="207">
        <f>INDEX($A$87:$H$100,MATCH($L92,$B$87:$B$100,0),MATCH($BQ$86,$A$87:$H$87,0))*고양시_Modal_split!P$3 * 0.01</f>
        <v>5.6962801884676617E-2</v>
      </c>
      <c r="CE92" s="304">
        <f t="shared" si="69"/>
        <v>0.5600837338533361</v>
      </c>
      <c r="CF92" s="304">
        <f t="shared" si="51"/>
        <v>94.0740642968657</v>
      </c>
      <c r="CG92" s="304">
        <f t="shared" si="52"/>
        <v>11.38170159151958</v>
      </c>
      <c r="CH92" s="304">
        <f t="shared" si="53"/>
        <v>18.342742283696754</v>
      </c>
      <c r="CI92" s="304">
        <f t="shared" si="54"/>
        <v>1.840275125518104</v>
      </c>
      <c r="CJ92" s="304">
        <f t="shared" si="55"/>
        <v>2.0002990494762004E-2</v>
      </c>
      <c r="CK92" s="304">
        <f t="shared" si="56"/>
        <v>5.5608313575438366</v>
      </c>
      <c r="CL92" s="304">
        <f t="shared" si="57"/>
        <v>60.889103066055533</v>
      </c>
      <c r="CM92" s="304">
        <f t="shared" si="58"/>
        <v>0.30004485742143006</v>
      </c>
      <c r="CN92" s="304">
        <f t="shared" si="59"/>
        <v>6.0409031294181252</v>
      </c>
      <c r="CO92" s="304">
        <f t="shared" si="60"/>
        <v>0.460068781379526</v>
      </c>
      <c r="CP92" s="304">
        <f t="shared" si="61"/>
        <v>0.20002990494762002</v>
      </c>
      <c r="CQ92" s="304">
        <f t="shared" si="62"/>
        <v>0.36005382890571602</v>
      </c>
      <c r="CR92" s="304">
        <f t="shared" si="63"/>
        <v>200.02990494762003</v>
      </c>
      <c r="CS92" s="305">
        <f t="shared" si="70"/>
        <v>0</v>
      </c>
      <c r="CV92" s="265" t="s">
        <v>12</v>
      </c>
      <c r="CW92" s="265" t="s">
        <v>12</v>
      </c>
      <c r="CX92" s="267">
        <f>INDEX($M$86:$Z$100,MATCH($CW92,$L$86:$L$100,0),MATCH(CX$87,$M$87:$Z$87,0))/INDEX(고양시_재차인원!$D$4:$H$35,MATCH("고양시",고양시_재차인원!$B$4:$B$35,0),MATCH($CX$86,고양시_재차인원!$D$4:$H$4,0))</f>
        <v>9.7041969902693435</v>
      </c>
      <c r="CY92" s="267">
        <f>INDEX($M$86:$Z$100,MATCH($CW92,$L$86:$L$100,0),MATCH(CY$87,$M$87:$Z$87,0))/INDEX(고양시_재차인원!$K$4:$O$20,MATCH("경기도",고양시_재차인원!$K$4:$K$20,0),MATCH($CY$87,고양시_재차인원!$K$4:$O$4,0))</f>
        <v>8.0271426884051712E-5</v>
      </c>
      <c r="CZ92" s="267">
        <f>INDEX($M$86:$Z$100,MATCH($CW92,$L$86:$L$100,0),MATCH(CZ$87,$M$87:$Z$87,0))/INDEX(고양시_재차인원!$K$4:$O$20,MATCH("경기도",고양시_재차인원!$K$4:$K$20,0),MATCH($CZ$87,고양시_재차인원!$K$4:$O$4,0))</f>
        <v>2.2315456673766377E-2</v>
      </c>
      <c r="DA92" s="267">
        <f>INDEX($M$86:$Z$100,MATCH($CW92,$L$86:$L$100,0),MATCH(DA$87,$M$87:$Z$87,0))/INDEX(고양시_재차인원!$D$4:$H$35,MATCH("고양시",고양시_재차인원!$B$4:$B$35,0),MATCH($CX$86,고양시_재차인원!$D$4:$H$4,0))</f>
        <v>0.62314852031923063</v>
      </c>
      <c r="DB92" s="267">
        <f>INDEX($AA$86:$AN$100,MATCH($CW92,$L$86:$L$100,0),MATCH(DB$87,$AA$87:$AN$87,0))/INDEX(고양시_재차인원!$D$4:$H$35,MATCH("고양시",고양시_재차인원!$B$4:$B$35,0),MATCH($DB$86,고양시_재차인원!$D$4:$H$4,0))</f>
        <v>55.78653190786109</v>
      </c>
      <c r="DC92" s="267">
        <f>INDEX($AA$86:$AN$100,MATCH($CW92,$L$86:$L$100,0),MATCH(DC$87,$AA$87:$AN$87,0))/INDEX(고양시_재차인원!$K$4:$O$20,MATCH("경기도",고양시_재차인원!$K$4:$K$20,0),MATCH(DC$87,고양시_재차인원!$K$4:$O$4,0))</f>
        <v>5.8094073842503212E-4</v>
      </c>
      <c r="DD92" s="267">
        <f>INDEX($AA$86:$AN$100,MATCH($CW92,$L$86:$L$100,0),MATCH(DD$87,$AA$87:$AN$87,0))/INDEX(고양시_재차인원!$K$4:$O$20,MATCH("경기도",고양시_재차인원!$K$4:$K$20,0),MATCH(DD$87,고양시_재차인원!$K$4:$O$4,0))</f>
        <v>0.16150152528215889</v>
      </c>
      <c r="DE92" s="267">
        <f>INDEX($AA$86:$AN$100,MATCH($CW92,$L$86:$L$100,0),MATCH(DE$87,$AA$87:$AN$87,0))/INDEX(고양시_재차인원!$D$4:$H$35,MATCH("고양시",고양시_재차인원!$B$4:$B$35,0),MATCH($DB$86,고양시_재차인원!$D$4:$H$4,0))</f>
        <v>3.582294840776961</v>
      </c>
      <c r="DF92" s="267">
        <f>INDEX($AO$86:$BB$100,MATCH($CW92,$L$86:$L$100,0),MATCH(DF$87,$AO$87:$BB$87,0))/INDEX(고양시_재차인원!$D$4:$H$35,MATCH("고양시",고양시_재차인원!$B$4:$B$35,0),MATCH($DF$86,고양시_재차인원!$D$4:$H$4,0))</f>
        <v>3.4711328505629631</v>
      </c>
      <c r="DG92" s="267">
        <f>INDEX($AO$86:$BB$100,MATCH($CW92,$L$86:$L$100,0),MATCH(DG$87,$AO$87:$BB$87,0))/INDEX(고양시_재차인원!$K$4:$O$20,MATCH("경기도",고양시_재차인원!$K$4:$K$20,0),MATCH(DG$87,고양시_재차인원!$K$4:$O$4,0))</f>
        <v>3.3327132214365942E-5</v>
      </c>
      <c r="DH92" s="267">
        <f>INDEX($AO$86:$BB$100,MATCH($CW92,$L$86:$L$100,0),MATCH(DH$87,$AO$87:$BB$87,0))/INDEX(고양시_재차인원!$K$4:$O$20,MATCH("경기도",고양시_재차인원!$K$4:$K$20,0),MATCH(DH$87,고양시_재차인원!$K$4:$O$4,0))</f>
        <v>9.2649427555937299E-3</v>
      </c>
      <c r="DI92" s="267">
        <f>INDEX($AO$86:$BB$100,MATCH($CW92,$L$86:$L$100,0),MATCH(DI$87,$AO$87:$BB$87,0))/INDEX(고양시_재차인원!$D$4:$H$35,MATCH("고양시",고양시_재차인원!$B$4:$B$35,0),MATCH($DF$86,고양시_재차인원!$D$4:$H$4,0))</f>
        <v>0.22289647477567828</v>
      </c>
      <c r="DJ92" s="267">
        <f>INDEX($BC$86:$BP$100,MATCH($CW92,$L$86:$L$100,0),MATCH(DJ$87,$BC$87:$BP$87,0))/INDEX(고양시_재차인원!$D$4:$H$35,MATCH("고양시",고양시_재차인원!$B$4:$B$35,0),MATCH($DJ$86,고양시_재차인원!$D$4:$H$4,0))</f>
        <v>5.2142398688855927E-3</v>
      </c>
      <c r="DK92" s="267">
        <f>INDEX($BC$86:$BP$100,MATCH($CW92,$L$86:$L$100,0),MATCH(DK$87,$BC$87:$BP$87,0))/INDEX(고양시_재차인원!$K$4:$O$20,MATCH("경기도",고양시_재차인원!$K$4:$K$20,0),MATCH(DK$87,고양시_재차인원!$K$4:$O$4,0))</f>
        <v>5.2373701751229766E-8</v>
      </c>
      <c r="DL92" s="267">
        <f>INDEX($BC$86:$BP$100,MATCH($CW92,$L$86:$L$100,0),MATCH(DL$87,$BC$87:$BP$87,0))/INDEX(고양시_재차인원!$K$4:$O$20,MATCH("경기도",고양시_재차인원!$K$4:$K$20,0),MATCH(DL$87,고양시_재차인원!$K$4:$O$4,0))</f>
        <v>1.4559889086841874E-5</v>
      </c>
      <c r="DM92" s="267">
        <f>INDEX($BC$86:$BP$100,MATCH($CW92,$L$86:$L$100,0),MATCH(DM$87,$BC$87:$BP$87,0))/INDEX(고양시_재차인원!$D$4:$H$35,MATCH("고양시",고양시_재차인원!$B$4:$B$35,0),MATCH($DJ$86,고양시_재차인원!$D$4:$H$4,0))</f>
        <v>3.348289263030936E-4</v>
      </c>
      <c r="DN92" s="267">
        <f>INDEX($BQ$86:$CD$100,MATCH($CW92,$L$86:$L$100,0),MATCH(DN$87,$BQ$87:$CD$87,0))/INDEX(고양시_재차인원!$D$4:$H$35,MATCH("고양시",고양시_재차인원!$B$4:$B$35,0),MATCH($DN$86,고양시_재차인원!$D$4:$H$4,0))</f>
        <v>2.126159184632017E-2</v>
      </c>
      <c r="DO92" s="267">
        <f>INDEX($BQ$86:$CD$100,MATCH($CW92,$L$86:$L$100,0),MATCH(DO$87,$BQ$87:$CD$87,0))/INDEX(고양시_재차인원!$K$4:$O$20,MATCH("경기도",고양시_재차인원!$K$4:$K$20,0),MATCH(DO$87,고양시_재차인원!$K$4:$O$4,0))</f>
        <v>1.9785620661575762E-7</v>
      </c>
      <c r="DP92" s="267">
        <f>INDEX($BQ$86:$CD$100,MATCH($CW92,$L$86:$L$100,0),MATCH(DP$87,$BQ$87:$CD$87,0))/INDEX(고양시_재차인원!$K$4:$O$20,MATCH("경기도",고양시_재차인원!$K$4:$K$20,0),MATCH(DP$87,고양시_재차인원!$K$4:$O$4,0))</f>
        <v>5.5004025439180619E-5</v>
      </c>
      <c r="DQ92" s="267">
        <f>INDEX($BQ$86:$CD$100,MATCH($CW92,$L$86:$L$100,0),MATCH(DQ$87,$BQ$87:$CD$87,0))/INDEX(고양시_재차인원!$D$4:$H$35,MATCH("고양시",고양시_재차인원!$B$4:$B$35,0),MATCH($DN$86,고양시_재차인원!$D$4:$H$4,0))</f>
        <v>1.3652989023152649E-3</v>
      </c>
      <c r="DR92" s="270">
        <f t="shared" si="71"/>
        <v>68.988337580408611</v>
      </c>
      <c r="DS92" s="270">
        <f t="shared" si="64"/>
        <v>6.9478952743181677E-4</v>
      </c>
      <c r="DT92" s="270">
        <f t="shared" si="65"/>
        <v>0.193151488626045</v>
      </c>
      <c r="DU92" s="270">
        <f t="shared" si="66"/>
        <v>4.4300399637004881</v>
      </c>
      <c r="DW92" s="278" t="s">
        <v>12</v>
      </c>
      <c r="DX92" s="278" t="s">
        <v>12</v>
      </c>
      <c r="DY92" s="281">
        <f t="shared" si="72"/>
        <v>73.418377544109106</v>
      </c>
      <c r="DZ92" s="281">
        <f t="shared" si="73"/>
        <v>0.19384627815347683</v>
      </c>
      <c r="EB92" s="278" t="s">
        <v>12</v>
      </c>
      <c r="EC92" s="278" t="s">
        <v>12</v>
      </c>
      <c r="ED92" s="281">
        <f>DY92</f>
        <v>73.418377544109106</v>
      </c>
      <c r="EE92" s="281">
        <f t="shared" ref="EE92:EE93" si="78">DZ92</f>
        <v>0.19384627815347683</v>
      </c>
      <c r="EK92" s="420" t="s">
        <v>623</v>
      </c>
      <c r="EL92" s="420" t="s">
        <v>640</v>
      </c>
      <c r="EM92" s="420" t="s">
        <v>220</v>
      </c>
      <c r="EN92" s="420">
        <v>31514.0893</v>
      </c>
      <c r="EO92" s="420">
        <v>1</v>
      </c>
      <c r="EP92" s="421">
        <v>849005</v>
      </c>
      <c r="EQ92" s="422">
        <f t="shared" si="75"/>
        <v>662.58698386520734</v>
      </c>
      <c r="ER92" s="422">
        <f t="shared" si="76"/>
        <v>1.749426030261193</v>
      </c>
      <c r="ES92">
        <v>0</v>
      </c>
      <c r="EU92" s="306" t="s">
        <v>623</v>
      </c>
      <c r="EV92" s="306" t="s">
        <v>200</v>
      </c>
      <c r="EW92" s="306" t="s">
        <v>220</v>
      </c>
      <c r="EX92" s="306">
        <v>31514.0893</v>
      </c>
      <c r="EY92" s="306">
        <v>1</v>
      </c>
      <c r="EZ92" s="307">
        <v>849005</v>
      </c>
      <c r="FA92" s="308">
        <f t="shared" si="77"/>
        <v>662.58698386520734</v>
      </c>
      <c r="FB92" s="308">
        <f t="shared" si="68"/>
        <v>1.749426030261193</v>
      </c>
      <c r="FD92" s="101"/>
      <c r="FE92" s="101"/>
      <c r="FF92" s="101"/>
      <c r="FG92" s="101"/>
      <c r="FH92" s="101"/>
      <c r="FI92" s="374"/>
      <c r="FJ92" s="404"/>
      <c r="FK92" s="404"/>
    </row>
    <row r="93" spans="1:167" ht="25">
      <c r="A93" s="205" t="s">
        <v>13</v>
      </c>
      <c r="B93" s="205" t="s">
        <v>13</v>
      </c>
      <c r="C93" s="201">
        <f>$K34*KTDB_TripDistribution_2025!T$12</f>
        <v>34.348625305032058</v>
      </c>
      <c r="D93" s="201">
        <f>$K34*KTDB_TripDistribution_2025!U$12</f>
        <v>248.58802843275004</v>
      </c>
      <c r="E93" s="201">
        <f>$K34*KTDB_TripDistribution_2025!V$12</f>
        <v>14.260879884146613</v>
      </c>
      <c r="F93" s="201">
        <f>$K34*KTDB_TripDistribution_2025!W$12</f>
        <v>2.2411021295149169E-2</v>
      </c>
      <c r="G93" s="201">
        <f>$K34*KTDB_TripDistribution_2025!X$12</f>
        <v>8.4663858226119382E-2</v>
      </c>
      <c r="H93" s="201">
        <f>$K34*KTDB_TripDistribution_2025!Y$12</f>
        <v>297.30460850145005</v>
      </c>
      <c r="K93" s="206" t="s">
        <v>13</v>
      </c>
      <c r="L93" s="206" t="s">
        <v>13</v>
      </c>
      <c r="M93" s="206">
        <f>INDEX($A$87:$H$100,MATCH($L93,$B$87:$B$100,0),MATCH($M$86,$A$87:$H$87,0))*고양시_Modal_split!C$3 * 0.01</f>
        <v>9.6176150854089745E-2</v>
      </c>
      <c r="N93" s="206">
        <f>INDEX($A$87:$H$100,MATCH($L93,$B$87:$B$100,0),MATCH($M$86,$A$87:$H$87,0))*고양시_Modal_split!D$3 * 0.01</f>
        <v>16.154158480956578</v>
      </c>
      <c r="O93" s="206">
        <f>INDEX($A$87:$H$100,MATCH($L93,$B$87:$B$100,0),MATCH($M$86,$A$87:$H$87,0))*고양시_Modal_split!E$3 * 0.01</f>
        <v>1.954436779856324</v>
      </c>
      <c r="P93" s="206">
        <f>INDEX($A$87:$H$100,MATCH($L93,$B$87:$B$100,0),MATCH($M$86,$A$87:$H$87,0))*고양시_Modal_split!F$3 * 0.01</f>
        <v>3.1497689404714397</v>
      </c>
      <c r="Q93" s="206">
        <f>INDEX($A$87:$H$100,MATCH($L93,$B$87:$B$100,0),MATCH($M$86,$A$87:$H$87,0))*고양시_Modal_split!G$3 * 0.01</f>
        <v>0.31600735280629488</v>
      </c>
      <c r="R93" s="206">
        <f>INDEX($A$87:$H$100,MATCH($L93,$B$87:$B$100,0),MATCH($M$86,$A$87:$H$87,0))*고양시_Modal_split!H$3 * 0.01</f>
        <v>3.4348625305032059E-3</v>
      </c>
      <c r="S93" s="206">
        <f>INDEX($A$87:$H$100,MATCH($L93,$B$87:$B$100,0),MATCH($M$86,$A$87:$H$87,0))*고양시_Modal_split!I$3 * 0.01</f>
        <v>0.95489178347989112</v>
      </c>
      <c r="T93" s="206">
        <f>INDEX($A$87:$H$100,MATCH($L93,$B$87:$B$100,0),MATCH($M$86,$A$87:$H$87,0))*고양시_Modal_split!J$3 * 0.01</f>
        <v>10.455721542851759</v>
      </c>
      <c r="U93" s="206">
        <f>INDEX($A$87:$H$100,MATCH($L93,$B$87:$B$100,0),MATCH($M$86,$A$87:$H$87,0))*고양시_Modal_split!K$3 * 0.01</f>
        <v>5.1522937957548087E-2</v>
      </c>
      <c r="V93" s="206">
        <f>INDEX($A$87:$H$100,MATCH($L93,$B$87:$B$100,0),MATCH($M$86,$A$87:$H$87,0))*고양시_Modal_split!L$3 * 0.01</f>
        <v>1.0373284842119683</v>
      </c>
      <c r="W93" s="206">
        <f>INDEX($A$87:$H$100,MATCH($L93,$B$87:$B$100,0),MATCH($M$86,$A$87:$H$87,0))*고양시_Modal_split!M$3 * 0.01</f>
        <v>7.9001838201573721E-2</v>
      </c>
      <c r="X93" s="206">
        <f>INDEX($A$87:$H$100,MATCH($L93,$B$87:$B$100,0),MATCH($M$86,$A$87:$H$87,0))*고양시_Modal_split!N$3 * 0.01</f>
        <v>3.4348625305032063E-2</v>
      </c>
      <c r="Y93" s="206">
        <f>INDEX($A$87:$H$100,MATCH($L93,$B$87:$B$100,0),MATCH($M$86,$A$87:$H$87,0))*고양시_Modal_split!O$3 * 0.01</f>
        <v>6.1827525549057703E-2</v>
      </c>
      <c r="Z93" s="209">
        <f>INDEX($A$87:$H$100,MATCH($L93,$B$87:$B$100,0),MATCH($M$86,$A$87:$H$87,0))*고양시_Modal_split!P$3 * 0.01</f>
        <v>34.348625305032058</v>
      </c>
      <c r="AA93" s="207">
        <f>INDEX($A$87:$H$100,MATCH($L93,$B$87:$B$100,0),MATCH($AA$86,$A$87:$H$87,0))*고양시_Modal_split!C$3 * 0.01</f>
        <v>0.69604647961170008</v>
      </c>
      <c r="AB93" s="207">
        <f>INDEX($A$87:$H$100,MATCH($L93,$B$87:$B$100,0),MATCH($AA$86,$A$87:$H$87,0))*고양시_Modal_split!D$3 * 0.01</f>
        <v>116.91094977192235</v>
      </c>
      <c r="AC93" s="207">
        <f>INDEX($A$87:$H$100,MATCH($L93,$B$87:$B$100,0),MATCH($AA$86,$A$87:$H$87,0))*고양시_Modal_split!E$3 * 0.01</f>
        <v>14.144658817823476</v>
      </c>
      <c r="AD93" s="207">
        <f>INDEX($A$87:$H$100,MATCH($L93,$B$87:$B$100,0),MATCH($AA$86,$A$87:$H$87,0))*고양시_Modal_split!F$3 * 0.01</f>
        <v>22.795522207283181</v>
      </c>
      <c r="AE93" s="207">
        <f>INDEX($A$87:$H$100,MATCH($L93,$B$87:$B$100,0),MATCH($AA$86,$A$87:$H$87,0))*고양시_Modal_split!G$3 * 0.01</f>
        <v>2.2870098615812999</v>
      </c>
      <c r="AF93" s="207">
        <f>INDEX($A$87:$H$100,MATCH($L93,$B$87:$B$100,0),MATCH($AA$86,$A$87:$H$87,0))*고양시_Modal_split!H$3 * 0.01</f>
        <v>2.4858802843275005E-2</v>
      </c>
      <c r="AG93" s="207">
        <f>INDEX($A$87:$H$100,MATCH($L93,$B$87:$B$100,0),MATCH($AA$86,$A$87:$H$87,0))*고양시_Modal_split!I$3 * 0.01</f>
        <v>6.9107471904304507</v>
      </c>
      <c r="AH93" s="207">
        <f>INDEX($A$87:$H$100,MATCH($L93,$B$87:$B$100,0),MATCH($AA$86,$A$87:$H$87,0))*고양시_Modal_split!J$3 * 0.01</f>
        <v>75.670195854929119</v>
      </c>
      <c r="AI93" s="207">
        <f>INDEX($A$87:$H$100,MATCH($L93,$B$87:$B$100,0),MATCH($AA$86,$A$87:$H$87,0))*고양시_Modal_split!K$3 * 0.01</f>
        <v>0.372882042649125</v>
      </c>
      <c r="AJ93" s="207">
        <f>INDEX($A$87:$H$100,MATCH($L93,$B$87:$B$100,0),MATCH($AA$86,$A$87:$H$87,0))*고양시_Modal_split!L$3 * 0.01</f>
        <v>7.507358458669052</v>
      </c>
      <c r="AK93" s="207">
        <f>INDEX($A$87:$H$100,MATCH($L93,$B$87:$B$100,0),MATCH($AA$86,$A$87:$H$87,0))*고양시_Modal_split!M$3 * 0.01</f>
        <v>0.57175246539532498</v>
      </c>
      <c r="AL93" s="207">
        <f>INDEX($A$87:$H$100,MATCH($L93,$B$87:$B$100,0),MATCH($AA$86,$A$87:$H$87,0))*고양시_Modal_split!N$3 * 0.01</f>
        <v>0.24858802843275005</v>
      </c>
      <c r="AM93" s="207">
        <f>INDEX($A$87:$H$100,MATCH($L93,$B$87:$B$100,0),MATCH($AA$86,$A$87:$H$87,0))*고양시_Modal_split!O$3 * 0.01</f>
        <v>0.44745845117895</v>
      </c>
      <c r="AN93" s="207">
        <f>INDEX($A$87:$H$100,MATCH($L93,$B$87:$B$100,0),MATCH($AA$86,$A$87:$H$87,0))*고양시_Modal_split!P$3 * 0.01</f>
        <v>248.58802843275004</v>
      </c>
      <c r="AO93" s="303">
        <f>INDEX($A$87:$H$100,MATCH($L93,$B$87:$B$100,0),MATCH($AO$86,$A$87:$H$87,0))*고양시_Modal_split!C$3 * 0.01</f>
        <v>3.9930463675610511E-2</v>
      </c>
      <c r="AP93" s="303">
        <f>INDEX($A$87:$H$100,MATCH($L93,$B$87:$B$100,0),MATCH($AO$86,$A$87:$H$87,0))*고양시_Modal_split!D$3 * 0.01</f>
        <v>6.7068918095141523</v>
      </c>
      <c r="AQ93" s="303">
        <f>INDEX($A$87:$H$100,MATCH($L93,$B$87:$B$100,0),MATCH($AO$86,$A$87:$H$87,0))*고양시_Modal_split!E$3 * 0.01</f>
        <v>0.81144406540794223</v>
      </c>
      <c r="AR93" s="303">
        <f>INDEX($A$87:$H$100,MATCH($L93,$B$87:$B$100,0),MATCH($AO$86,$A$87:$H$87,0))*고양시_Modal_split!F$3 * 0.01</f>
        <v>1.3077226853762443</v>
      </c>
      <c r="AS93" s="303">
        <f>INDEX($A$87:$H$100,MATCH($L93,$B$87:$B$100,0),MATCH($AO$86,$A$87:$H$87,0))*고양시_Modal_split!G$3 * 0.01</f>
        <v>0.13120009493414883</v>
      </c>
      <c r="AT93" s="303">
        <f>INDEX($A$87:$H$100,MATCH($L93,$B$87:$B$100,0),MATCH($AO$86,$A$87:$H$87,0))*고양시_Modal_split!H$3 * 0.01</f>
        <v>1.4260879884146612E-3</v>
      </c>
      <c r="AU93" s="303">
        <f>INDEX($A$87:$H$100,MATCH($L93,$B$87:$B$100,0),MATCH($AO$86,$A$87:$H$87,0))*고양시_Modal_split!I$3 * 0.01</f>
        <v>0.39645246077927582</v>
      </c>
      <c r="AV93" s="303">
        <f>INDEX($A$87:$H$100,MATCH($L93,$B$87:$B$100,0),MATCH($AO$86,$A$87:$H$87,0))*고양시_Modal_split!J$3 * 0.01</f>
        <v>4.3410118367342294</v>
      </c>
      <c r="AW93" s="303">
        <f>INDEX($A$87:$H$100,MATCH($L93,$B$87:$B$100,0),MATCH($AO$86,$A$87:$H$87,0))*고양시_Modal_split!K$3 * 0.01</f>
        <v>2.1391319826219918E-2</v>
      </c>
      <c r="AX93" s="303">
        <f>INDEX($A$87:$H$100,MATCH($L93,$B$87:$B$100,0),MATCH($AO$86,$A$87:$H$87,0))*고양시_Modal_split!L$3 * 0.01</f>
        <v>0.43067857250122771</v>
      </c>
      <c r="AY93" s="303">
        <f>INDEX($A$87:$H$100,MATCH($L93,$B$87:$B$100,0),MATCH($AO$86,$A$87:$H$87,0))*고양시_Modal_split!M$3 * 0.01</f>
        <v>3.2800023733537208E-2</v>
      </c>
      <c r="AZ93" s="303">
        <f>INDEX($A$87:$H$100,MATCH($L93,$B$87:$B$100,0),MATCH($AO$86,$A$87:$H$87,0))*고양시_Modal_split!N$3 * 0.01</f>
        <v>1.4260879884146614E-2</v>
      </c>
      <c r="BA93" s="207">
        <f>INDEX($A$87:$H$100,MATCH($L93,$B$87:$B$100,0),MATCH($AO$86,$A$87:$H$87,0))*고양시_Modal_split!O$3 * 0.01</f>
        <v>2.5669583791463904E-2</v>
      </c>
      <c r="BB93" s="207">
        <f>INDEX($A$87:$H$100,MATCH($L93,$B$87:$B$100,0),MATCH($AO$86,$A$87:$H$87,0))*고양시_Modal_split!P$3 * 0.01</f>
        <v>14.260879884146615</v>
      </c>
      <c r="BC93" s="207">
        <f>INDEX($A$87:$H$100,MATCH($L93,$B$87:$B$100,0),MATCH($BC$86,$A$87:$H$87,0))*고양시_Modal_split!C$3 * 0.01</f>
        <v>6.2750859626417663E-5</v>
      </c>
      <c r="BD93" s="207">
        <f>INDEX($A$87:$H$100,MATCH($L93,$B$87:$B$100,0),MATCH($BC$86,$A$87:$H$87,0))*고양시_Modal_split!D$3 * 0.01</f>
        <v>1.0539903315108654E-2</v>
      </c>
      <c r="BE93" s="207">
        <f>INDEX($A$87:$H$100,MATCH($L93,$B$87:$B$100,0),MATCH($BC$86,$A$87:$H$87,0))*고양시_Modal_split!E$3 * 0.01</f>
        <v>1.2751871116939875E-3</v>
      </c>
      <c r="BF93" s="207">
        <f>INDEX($A$87:$H$100,MATCH($L93,$B$87:$B$100,0),MATCH($BC$86,$A$87:$H$87,0))*고양시_Modal_split!F$3 * 0.01</f>
        <v>2.055090652765179E-3</v>
      </c>
      <c r="BG93" s="207">
        <f>INDEX($A$87:$H$100,MATCH($L93,$B$87:$B$100,0),MATCH($BC$86,$A$87:$H$87,0))*고양시_Modal_split!G$3 * 0.01</f>
        <v>2.0618139591537234E-4</v>
      </c>
      <c r="BH93" s="207">
        <f>INDEX($A$87:$H$100,MATCH($L93,$B$87:$B$100,0),MATCH($BC$86,$A$87:$H$87,0))*고양시_Modal_split!H$3 * 0.01</f>
        <v>2.2411021295149169E-6</v>
      </c>
      <c r="BI93" s="207">
        <f>INDEX($A$87:$H$100,MATCH($L93,$B$87:$B$100,0),MATCH($BC$86,$A$87:$H$87,0))*고양시_Modal_split!I$3 * 0.01</f>
        <v>6.2302639200514682E-4</v>
      </c>
      <c r="BJ93" s="207">
        <f>INDEX($A$87:$H$100,MATCH($L93,$B$87:$B$100,0),MATCH($BC$86,$A$87:$H$87,0))*고양시_Modal_split!J$3 * 0.01</f>
        <v>6.8219148822434078E-3</v>
      </c>
      <c r="BK93" s="207">
        <f>INDEX($A$87:$H$100,MATCH($L93,$B$87:$B$100,0),MATCH($BC$86,$A$87:$H$87,0))*고양시_Modal_split!K$3 * 0.01</f>
        <v>3.3616531942723754E-5</v>
      </c>
      <c r="BL93" s="207">
        <f>INDEX($A$87:$H$100,MATCH($L93,$B$87:$B$100,0),MATCH($BC$86,$A$87:$H$87,0))*고양시_Modal_split!L$3 * 0.01</f>
        <v>6.7681284311350495E-4</v>
      </c>
      <c r="BM93" s="207">
        <f>INDEX($A$87:$H$100,MATCH($L93,$B$87:$B$100,0),MATCH($BC$86,$A$87:$H$87,0))*고양시_Modal_split!M$3 * 0.01</f>
        <v>5.1545348978843085E-5</v>
      </c>
      <c r="BN93" s="207">
        <f>INDEX($A$87:$H$100,MATCH($L93,$B$87:$B$100,0),MATCH($BC$86,$A$87:$H$87,0))*고양시_Modal_split!N$3 * 0.01</f>
        <v>2.2411021295149169E-5</v>
      </c>
      <c r="BO93" s="207">
        <f>INDEX($A$87:$H$100,MATCH($L93,$B$87:$B$100,0),MATCH($BC$86,$A$87:$H$87,0))*고양시_Modal_split!O$3 * 0.01</f>
        <v>4.0339838331268501E-5</v>
      </c>
      <c r="BP93" s="207">
        <f>INDEX($A$87:$H$100,MATCH($L93,$B$87:$B$100,0),MATCH($BC$86,$A$87:$H$87,0))*고양시_Modal_split!P$3 * 0.01</f>
        <v>2.2411021295149169E-2</v>
      </c>
      <c r="BQ93" s="207">
        <f>INDEX($A$87:$H$100,MATCH($L93,$B$87:$B$100,0),MATCH($BQ$86,$A$87:$H$87,0))*고양시_Modal_split!C$3 * 0.01</f>
        <v>2.3705880303313424E-4</v>
      </c>
      <c r="BR93" s="207">
        <f>INDEX($A$87:$H$100,MATCH($L93,$B$87:$B$100,0),MATCH($BQ$86,$A$87:$H$87,0))*고양시_Modal_split!D$3 * 0.01</f>
        <v>3.9817412523743947E-2</v>
      </c>
      <c r="BS93" s="207">
        <f>INDEX($A$87:$H$100,MATCH($L93,$B$87:$B$100,0),MATCH($BQ$86,$A$87:$H$87,0))*고양시_Modal_split!E$3 * 0.01</f>
        <v>4.8173735330661925E-3</v>
      </c>
      <c r="BT93" s="207">
        <f>INDEX($A$87:$H$100,MATCH($L93,$B$87:$B$100,0),MATCH($BQ$86,$A$87:$H$87,0))*고양시_Modal_split!F$3 * 0.01</f>
        <v>7.7636757993351469E-3</v>
      </c>
      <c r="BU93" s="207">
        <f>INDEX($A$87:$H$100,MATCH($L93,$B$87:$B$100,0),MATCH($BQ$86,$A$87:$H$87,0))*고양시_Modal_split!G$3 * 0.01</f>
        <v>7.7890749568029825E-4</v>
      </c>
      <c r="BV93" s="207">
        <f>INDEX($A$87:$H$100,MATCH($L93,$B$87:$B$100,0),MATCH($BQ$86,$A$87:$H$87,0))*고양시_Modal_split!H$3 * 0.01</f>
        <v>8.4663858226119385E-6</v>
      </c>
      <c r="BW93" s="207">
        <f>INDEX($A$87:$H$100,MATCH($L93,$B$87:$B$100,0),MATCH($BQ$86,$A$87:$H$87,0))*고양시_Modal_split!I$3 * 0.01</f>
        <v>2.3536552586861186E-3</v>
      </c>
      <c r="BX93" s="207">
        <f>INDEX($A$87:$H$100,MATCH($L93,$B$87:$B$100,0),MATCH($BQ$86,$A$87:$H$87,0))*고양시_Modal_split!J$3 * 0.01</f>
        <v>2.5771678444030739E-2</v>
      </c>
      <c r="BY93" s="207">
        <f>INDEX($A$87:$H$100,MATCH($L93,$B$87:$B$100,0),MATCH($BQ$86,$A$87:$H$87,0))*고양시_Modal_split!K$3 * 0.01</f>
        <v>1.2699578733917907E-4</v>
      </c>
      <c r="BZ93" s="207">
        <f>INDEX($A$87:$H$100,MATCH($L93,$B$87:$B$100,0),MATCH($BQ$86,$A$87:$H$87,0))*고양시_Modal_split!L$3 * 0.01</f>
        <v>2.5568485184288055E-3</v>
      </c>
      <c r="CA93" s="207">
        <f>INDEX($A$87:$H$100,MATCH($L93,$B$87:$B$100,0),MATCH($BQ$86,$A$87:$H$87,0))*고양시_Modal_split!M$3 * 0.01</f>
        <v>1.9472687392007456E-4</v>
      </c>
      <c r="CB93" s="207">
        <f>INDEX($A$87:$H$100,MATCH($L93,$B$87:$B$100,0),MATCH($BQ$86,$A$87:$H$87,0))*고양시_Modal_split!N$3 * 0.01</f>
        <v>8.4663858226119388E-5</v>
      </c>
      <c r="CC93" s="207">
        <f>INDEX($A$87:$H$100,MATCH($L93,$B$87:$B$100,0),MATCH($BQ$86,$A$87:$H$87,0))*고양시_Modal_split!O$3 * 0.01</f>
        <v>1.5239494480701488E-4</v>
      </c>
      <c r="CD93" s="207">
        <f>INDEX($A$87:$H$100,MATCH($L93,$B$87:$B$100,0),MATCH($BQ$86,$A$87:$H$87,0))*고양시_Modal_split!P$3 * 0.01</f>
        <v>8.4663858226119382E-2</v>
      </c>
      <c r="CE93" s="304">
        <f t="shared" si="69"/>
        <v>0.83245290380405979</v>
      </c>
      <c r="CF93" s="304">
        <f t="shared" si="51"/>
        <v>139.82235737823194</v>
      </c>
      <c r="CG93" s="304">
        <f t="shared" si="52"/>
        <v>16.916632223732503</v>
      </c>
      <c r="CH93" s="304">
        <f t="shared" si="53"/>
        <v>27.262832599582964</v>
      </c>
      <c r="CI93" s="304">
        <f t="shared" si="54"/>
        <v>2.7352023982133393</v>
      </c>
      <c r="CJ93" s="304">
        <f t="shared" si="55"/>
        <v>2.9730460850145E-2</v>
      </c>
      <c r="CK93" s="304">
        <f t="shared" si="56"/>
        <v>8.2650681163403092</v>
      </c>
      <c r="CL93" s="304">
        <f t="shared" si="57"/>
        <v>90.499522827841375</v>
      </c>
      <c r="CM93" s="304">
        <f t="shared" si="58"/>
        <v>0.44595691275217486</v>
      </c>
      <c r="CN93" s="304">
        <f t="shared" si="59"/>
        <v>8.9785991767437903</v>
      </c>
      <c r="CO93" s="304">
        <f t="shared" si="60"/>
        <v>0.68380059955333483</v>
      </c>
      <c r="CP93" s="304">
        <f t="shared" si="61"/>
        <v>0.29730460850144996</v>
      </c>
      <c r="CQ93" s="304">
        <f t="shared" si="62"/>
        <v>0.53514829530260988</v>
      </c>
      <c r="CR93" s="304">
        <f t="shared" si="63"/>
        <v>297.30460850144999</v>
      </c>
      <c r="CS93" s="305">
        <f t="shared" si="70"/>
        <v>0</v>
      </c>
      <c r="CV93" s="267" t="s">
        <v>13</v>
      </c>
      <c r="CW93" s="267" t="s">
        <v>13</v>
      </c>
      <c r="CX93" s="267">
        <f>INDEX($M$86:$Z$100,MATCH($CW93,$L$86:$L$100,0),MATCH(CX$87,$M$87:$Z$87,0))/INDEX(고양시_재차인원!$D$4:$H$35,MATCH("고양시",고양시_재차인원!$B$4:$B$35,0),MATCH($CX$86,고양시_재차인원!$D$4:$H$4,0))</f>
        <v>14.423355786568372</v>
      </c>
      <c r="CY93" s="267">
        <f>INDEX($M$86:$Z$100,MATCH($CW93,$L$86:$L$100,0),MATCH(CY$87,$M$87:$Z$87,0))/INDEX(고양시_재차인원!$K$4:$O$20,MATCH("경기도",고양시_재차인원!$K$4:$K$20,0),MATCH($CY$87,고양시_재차인원!$K$4:$O$4,0))</f>
        <v>1.1930748629743682E-4</v>
      </c>
      <c r="CZ93" s="267">
        <f>INDEX($M$86:$Z$100,MATCH($CW93,$L$86:$L$100,0),MATCH(CZ$87,$M$87:$Z$87,0))/INDEX(고양시_재차인원!$K$4:$O$20,MATCH("경기도",고양시_재차인원!$K$4:$K$20,0),MATCH($CZ$87,고양시_재차인원!$K$4:$O$4,0))</f>
        <v>3.316748119068743E-2</v>
      </c>
      <c r="DA93" s="267">
        <f>INDEX($M$86:$Z$100,MATCH($CW93,$L$86:$L$100,0),MATCH(DA$87,$M$87:$Z$87,0))/INDEX(고양시_재차인원!$D$4:$H$35,MATCH("고양시",고양시_재차인원!$B$4:$B$35,0),MATCH($CX$86,고양시_재차인원!$D$4:$H$4,0))</f>
        <v>0.92618614661782872</v>
      </c>
      <c r="DB93" s="267">
        <f>INDEX($AA$86:$AN$100,MATCH($CW93,$L$86:$L$100,0),MATCH(DB$87,$AA$87:$AN$87,0))/INDEX(고양시_재차인원!$D$4:$H$35,MATCH("고양시",고양시_재차인원!$B$4:$B$35,0),MATCH($DB$86,고양시_재차인원!$D$4:$H$4,0))</f>
        <v>82.915567214129325</v>
      </c>
      <c r="DC93" s="267">
        <f>INDEX($AA$86:$AN$100,MATCH($CW93,$L$86:$L$100,0),MATCH(DC$87,$AA$87:$AN$87,0))/INDEX(고양시_재차인원!$K$4:$O$20,MATCH("경기도",고양시_재차인원!$K$4:$K$20,0),MATCH(DC$87,고양시_재차인원!$K$4:$O$4,0))</f>
        <v>8.6345268646318188E-4</v>
      </c>
      <c r="DD93" s="267">
        <f>INDEX($AA$86:$AN$100,MATCH($CW93,$L$86:$L$100,0),MATCH(DD$87,$AA$87:$AN$87,0))/INDEX(고양시_재차인원!$K$4:$O$20,MATCH("경기도",고양시_재차인원!$K$4:$K$20,0),MATCH(DD$87,고양시_재차인원!$K$4:$O$4,0))</f>
        <v>0.24003984683676452</v>
      </c>
      <c r="DE93" s="267">
        <f>INDEX($AA$86:$AN$100,MATCH($CW93,$L$86:$L$100,0),MATCH(DE$87,$AA$87:$AN$87,0))/INDEX(고양시_재차인원!$D$4:$H$35,MATCH("고양시",고양시_재차인원!$B$4:$B$35,0),MATCH($DB$86,고양시_재차인원!$D$4:$H$4,0))</f>
        <v>5.3243677011837249</v>
      </c>
      <c r="DF93" s="267">
        <f>INDEX($AO$86:$BB$100,MATCH($CW93,$L$86:$L$100,0),MATCH(DF$87,$AO$87:$BB$87,0))/INDEX(고양시_재차인원!$D$4:$H$35,MATCH("고양시",고양시_재차인원!$B$4:$B$35,0),MATCH($DF$86,고양시_재차인원!$D$4:$H$4,0))</f>
        <v>5.159147545780117</v>
      </c>
      <c r="DG93" s="267">
        <f>INDEX($AO$86:$BB$100,MATCH($CW93,$L$86:$L$100,0),MATCH(DG$87,$AO$87:$BB$87,0))/INDEX(고양시_재차인원!$K$4:$O$20,MATCH("경기도",고양시_재차인원!$K$4:$K$20,0),MATCH(DG$87,고양시_재차인원!$K$4:$O$4,0))</f>
        <v>4.9534143397522098E-5</v>
      </c>
      <c r="DH93" s="267">
        <f>INDEX($AO$86:$BB$100,MATCH($CW93,$L$86:$L$100,0),MATCH(DH$87,$AO$87:$BB$87,0))/INDEX(고양시_재차인원!$K$4:$O$20,MATCH("경기도",고양시_재차인원!$K$4:$K$20,0),MATCH(DH$87,고양시_재차인원!$K$4:$O$4,0))</f>
        <v>1.3770491864511144E-2</v>
      </c>
      <c r="DI93" s="267">
        <f>INDEX($AO$86:$BB$100,MATCH($CW93,$L$86:$L$100,0),MATCH(DI$87,$AO$87:$BB$87,0))/INDEX(고양시_재차인원!$D$4:$H$35,MATCH("고양시",고양시_재차인원!$B$4:$B$35,0),MATCH($DF$86,고양시_재차인원!$D$4:$H$4,0))</f>
        <v>0.33129120961632902</v>
      </c>
      <c r="DJ93" s="267">
        <f>INDEX($BC$86:$BP$100,MATCH($CW93,$L$86:$L$100,0),MATCH(DJ$87,$BC$87:$BP$87,0))/INDEX(고양시_재차인원!$D$4:$H$35,MATCH("고양시",고양시_재차인원!$B$4:$B$35,0),MATCH($DJ$86,고양시_재차인원!$D$4:$H$4,0))</f>
        <v>7.7499289081681272E-3</v>
      </c>
      <c r="DK93" s="267">
        <f>INDEX($BC$86:$BP$100,MATCH($CW93,$L$86:$L$100,0),MATCH(DK$87,$BC$87:$BP$87,0))/INDEX(고양시_재차인원!$K$4:$O$20,MATCH("경기도",고양시_재차인원!$K$4:$K$20,0),MATCH(DK$87,고양시_재차인원!$K$4:$O$4,0))</f>
        <v>7.7843075009201701E-8</v>
      </c>
      <c r="DL93" s="267">
        <f>INDEX($BC$86:$BP$100,MATCH($CW93,$L$86:$L$100,0),MATCH(DL$87,$BC$87:$BP$87,0))/INDEX(고양시_재차인원!$K$4:$O$20,MATCH("경기도",고양시_재차인원!$K$4:$K$20,0),MATCH(DL$87,고양시_재차인원!$K$4:$O$4,0))</f>
        <v>2.1640374852558071E-5</v>
      </c>
      <c r="DM93" s="267">
        <f>INDEX($BC$86:$BP$100,MATCH($CW93,$L$86:$L$100,0),MATCH(DM$87,$BC$87:$BP$87,0))/INDEX(고양시_재차인원!$D$4:$H$35,MATCH("고양시",고양시_재차인원!$B$4:$B$35,0),MATCH($DJ$86,고양시_재차인원!$D$4:$H$4,0))</f>
        <v>4.9765650228934181E-4</v>
      </c>
      <c r="DN93" s="267">
        <f>INDEX($BQ$86:$CD$100,MATCH($CW93,$L$86:$L$100,0),MATCH(DN$87,$BQ$87:$CD$87,0))/INDEX(고양시_재차인원!$D$4:$H$35,MATCH("고양시",고양시_재차인원!$B$4:$B$35,0),MATCH($DN$86,고양시_재차인원!$D$4:$H$4,0))</f>
        <v>3.1601121050590437E-2</v>
      </c>
      <c r="DO93" s="267">
        <f>INDEX($BQ$86:$CD$100,MATCH($CW93,$L$86:$L$100,0),MATCH(DO$87,$BQ$87:$CD$87,0))/INDEX(고양시_재차인원!$K$4:$O$20,MATCH("경기도",고양시_재차인원!$K$4:$K$20,0),MATCH(DO$87,고양시_재차인원!$K$4:$O$4,0))</f>
        <v>2.9407383892365193E-7</v>
      </c>
      <c r="DP93" s="267">
        <f>INDEX($BQ$86:$CD$100,MATCH($CW93,$L$86:$L$100,0),MATCH(DP$87,$BQ$87:$CD$87,0))/INDEX(고양시_재차인원!$K$4:$O$20,MATCH("경기도",고양시_재차인원!$K$4:$K$20,0),MATCH(DP$87,고양시_재차인원!$K$4:$O$4,0))</f>
        <v>8.1752527220775229E-5</v>
      </c>
      <c r="DQ93" s="267">
        <f>INDEX($BQ$86:$CD$100,MATCH($CW93,$L$86:$L$100,0),MATCH(DQ$87,$BQ$87:$CD$87,0))/INDEX(고양시_재차인원!$D$4:$H$35,MATCH("고양시",고양시_재차인원!$B$4:$B$35,0),MATCH($DN$86,고양시_재차인원!$D$4:$H$4,0))</f>
        <v>2.0292448558958775E-3</v>
      </c>
      <c r="DR93" s="270">
        <f t="shared" si="71"/>
        <v>102.53742159643656</v>
      </c>
      <c r="DS93" s="270">
        <f t="shared" si="64"/>
        <v>1.0326662330720736E-3</v>
      </c>
      <c r="DT93" s="270">
        <f t="shared" si="65"/>
        <v>0.28708121279403642</v>
      </c>
      <c r="DU93" s="270">
        <f t="shared" si="66"/>
        <v>6.5843719587760674</v>
      </c>
      <c r="DW93" s="278" t="s">
        <v>13</v>
      </c>
      <c r="DX93" s="278" t="s">
        <v>13</v>
      </c>
      <c r="DY93" s="281">
        <f t="shared" si="72"/>
        <v>109.12179355521263</v>
      </c>
      <c r="DZ93" s="281">
        <f t="shared" si="73"/>
        <v>0.2881138790271085</v>
      </c>
      <c r="EB93" s="278" t="s">
        <v>13</v>
      </c>
      <c r="EC93" s="278" t="s">
        <v>13</v>
      </c>
      <c r="ED93" s="281">
        <f t="shared" ref="ED93" si="79">DY93</f>
        <v>109.12179355521263</v>
      </c>
      <c r="EE93" s="281">
        <f t="shared" si="78"/>
        <v>0.2881138790271085</v>
      </c>
      <c r="EK93" s="420" t="s">
        <v>623</v>
      </c>
      <c r="EL93" s="420" t="s">
        <v>641</v>
      </c>
      <c r="EM93" s="420" t="s">
        <v>221</v>
      </c>
      <c r="EN93" s="420">
        <v>32098.9882</v>
      </c>
      <c r="EO93" s="420">
        <v>1</v>
      </c>
      <c r="EP93" s="421">
        <v>849006</v>
      </c>
      <c r="EQ93" s="422">
        <f t="shared" si="75"/>
        <v>675.52638362978962</v>
      </c>
      <c r="ER93" s="422">
        <f t="shared" si="76"/>
        <v>1.7835898809183022</v>
      </c>
      <c r="ES93">
        <v>0</v>
      </c>
      <c r="EU93" s="306" t="s">
        <v>623</v>
      </c>
      <c r="EV93" s="306" t="s">
        <v>201</v>
      </c>
      <c r="EW93" s="306" t="s">
        <v>221</v>
      </c>
      <c r="EX93" s="306">
        <v>32098.9882</v>
      </c>
      <c r="EY93" s="306">
        <v>1</v>
      </c>
      <c r="EZ93" s="307">
        <v>849006</v>
      </c>
      <c r="FA93" s="308">
        <f t="shared" si="77"/>
        <v>675.52638362978962</v>
      </c>
      <c r="FB93" s="308">
        <f t="shared" si="68"/>
        <v>1.7835898809183022</v>
      </c>
      <c r="FD93" s="101"/>
      <c r="FE93" s="101"/>
      <c r="FF93" s="101"/>
      <c r="FG93" s="101"/>
      <c r="FH93" s="101"/>
      <c r="FI93" s="374"/>
      <c r="FJ93" s="404"/>
      <c r="FK93" s="404"/>
    </row>
    <row r="94" spans="1:167">
      <c r="A94" s="205" t="s">
        <v>167</v>
      </c>
      <c r="B94" s="205" t="s">
        <v>167</v>
      </c>
      <c r="C94" s="201">
        <f>$K35*KTDB_TripDistribution_2025!T$12</f>
        <v>142.39285711461855</v>
      </c>
      <c r="D94" s="201">
        <f>$K35*KTDB_TripDistribution_2025!U$12</f>
        <v>1030.5262379115838</v>
      </c>
      <c r="E94" s="201">
        <f>$K35*KTDB_TripDistribution_2025!V$12</f>
        <v>59.118739502350273</v>
      </c>
      <c r="F94" s="201">
        <f>$K35*KTDB_TripDistribution_2025!W$12</f>
        <v>9.2905300422760864E-2</v>
      </c>
      <c r="G94" s="201">
        <f>$K35*KTDB_TripDistribution_2025!X$12</f>
        <v>0.35097557937487567</v>
      </c>
      <c r="H94" s="201">
        <f>$K35*KTDB_TripDistribution_2025!Y$12</f>
        <v>1232.4817154083505</v>
      </c>
      <c r="I94" s="56"/>
      <c r="J94" s="56"/>
      <c r="K94" s="206" t="s">
        <v>167</v>
      </c>
      <c r="L94" s="206" t="s">
        <v>167</v>
      </c>
      <c r="M94" s="206">
        <f>INDEX($A$87:$H$100,MATCH($L94,$B$87:$B$100,0),MATCH($M$86,$A$87:$H$87,0))*고양시_Modal_split!C$3 * 0.01</f>
        <v>0.39869999992093191</v>
      </c>
      <c r="N94" s="206">
        <f>INDEX($A$87:$H$100,MATCH($L94,$B$87:$B$100,0),MATCH($M$86,$A$87:$H$87,0))*고양시_Modal_split!D$3 * 0.01</f>
        <v>66.967360701005106</v>
      </c>
      <c r="O94" s="206">
        <f>INDEX($A$87:$H$100,MATCH($L94,$B$87:$B$100,0),MATCH($M$86,$A$87:$H$87,0))*고양시_Modal_split!E$3 * 0.01</f>
        <v>8.1021535698217946</v>
      </c>
      <c r="P94" s="206">
        <f>INDEX($A$87:$H$100,MATCH($L94,$B$87:$B$100,0),MATCH($M$86,$A$87:$H$87,0))*고양시_Modal_split!F$3 * 0.01</f>
        <v>13.057424997410521</v>
      </c>
      <c r="Q94" s="206">
        <f>INDEX($A$87:$H$100,MATCH($L94,$B$87:$B$100,0),MATCH($M$86,$A$87:$H$87,0))*고양시_Modal_split!G$3 * 0.01</f>
        <v>1.3100142854544905</v>
      </c>
      <c r="R94" s="206">
        <f>INDEX($A$87:$H$100,MATCH($L94,$B$87:$B$100,0),MATCH($M$86,$A$87:$H$87,0))*고양시_Modal_split!H$3 * 0.01</f>
        <v>1.4239285711461856E-2</v>
      </c>
      <c r="S94" s="206">
        <f>INDEX($A$87:$H$100,MATCH($L94,$B$87:$B$100,0),MATCH($M$86,$A$87:$H$87,0))*고양시_Modal_split!I$3 * 0.01</f>
        <v>3.9585214277863954</v>
      </c>
      <c r="T94" s="206">
        <f>INDEX($A$87:$H$100,MATCH($L94,$B$87:$B$100,0),MATCH($M$86,$A$87:$H$87,0))*고양시_Modal_split!J$3 * 0.01</f>
        <v>43.344385705689895</v>
      </c>
      <c r="U94" s="206">
        <f>INDEX($A$87:$H$100,MATCH($L94,$B$87:$B$100,0),MATCH($M$86,$A$87:$H$87,0))*고양시_Modal_split!K$3 * 0.01</f>
        <v>0.21358928567192781</v>
      </c>
      <c r="V94" s="206">
        <f>INDEX($A$87:$H$100,MATCH($L94,$B$87:$B$100,0),MATCH($M$86,$A$87:$H$87,0))*고양시_Modal_split!L$3 * 0.01</f>
        <v>4.3002642848614805</v>
      </c>
      <c r="W94" s="206">
        <f>INDEX($A$87:$H$100,MATCH($L94,$B$87:$B$100,0),MATCH($M$86,$A$87:$H$87,0))*고양시_Modal_split!M$3 * 0.01</f>
        <v>0.32750357136362263</v>
      </c>
      <c r="X94" s="206">
        <f>INDEX($A$87:$H$100,MATCH($L94,$B$87:$B$100,0),MATCH($M$86,$A$87:$H$87,0))*고양시_Modal_split!N$3 * 0.01</f>
        <v>0.14239285711461855</v>
      </c>
      <c r="Y94" s="206">
        <f>INDEX($A$87:$H$100,MATCH($L94,$B$87:$B$100,0),MATCH($M$86,$A$87:$H$87,0))*고양시_Modal_split!O$3 * 0.01</f>
        <v>0.25630714280631339</v>
      </c>
      <c r="Z94" s="209">
        <f>INDEX($A$87:$H$100,MATCH($L94,$B$87:$B$100,0),MATCH($M$86,$A$87:$H$87,0))*고양시_Modal_split!P$3 * 0.01</f>
        <v>142.39285711461855</v>
      </c>
      <c r="AA94" s="207">
        <f>INDEX($A$87:$H$100,MATCH($L94,$B$87:$B$100,0),MATCH($AA$86,$A$87:$H$87,0))*고양시_Modal_split!C$3 * 0.01</f>
        <v>2.8854734661524346</v>
      </c>
      <c r="AB94" s="207">
        <f>INDEX($A$87:$H$100,MATCH($L94,$B$87:$B$100,0),MATCH($AA$86,$A$87:$H$87,0))*고양시_Modal_split!D$3 * 0.01</f>
        <v>484.65648968981793</v>
      </c>
      <c r="AC94" s="207">
        <f>INDEX($A$87:$H$100,MATCH($L94,$B$87:$B$100,0),MATCH($AA$86,$A$87:$H$87,0))*고양시_Modal_split!E$3 * 0.01</f>
        <v>58.636942937169117</v>
      </c>
      <c r="AD94" s="207">
        <f>INDEX($A$87:$H$100,MATCH($L94,$B$87:$B$100,0),MATCH($AA$86,$A$87:$H$87,0))*고양시_Modal_split!F$3 * 0.01</f>
        <v>94.499256016492239</v>
      </c>
      <c r="AE94" s="207">
        <f>INDEX($A$87:$H$100,MATCH($L94,$B$87:$B$100,0),MATCH($AA$86,$A$87:$H$87,0))*고양시_Modal_split!G$3 * 0.01</f>
        <v>9.4808413887865708</v>
      </c>
      <c r="AF94" s="207">
        <f>INDEX($A$87:$H$100,MATCH($L94,$B$87:$B$100,0),MATCH($AA$86,$A$87:$H$87,0))*고양시_Modal_split!H$3 * 0.01</f>
        <v>0.10305262379115838</v>
      </c>
      <c r="AG94" s="207">
        <f>INDEX($A$87:$H$100,MATCH($L94,$B$87:$B$100,0),MATCH($AA$86,$A$87:$H$87,0))*고양시_Modal_split!I$3 * 0.01</f>
        <v>28.648629413942032</v>
      </c>
      <c r="AH94" s="207">
        <f>INDEX($A$87:$H$100,MATCH($L94,$B$87:$B$100,0),MATCH($AA$86,$A$87:$H$87,0))*고양시_Modal_split!J$3 * 0.01</f>
        <v>313.69218682028617</v>
      </c>
      <c r="AI94" s="207">
        <f>INDEX($A$87:$H$100,MATCH($L94,$B$87:$B$100,0),MATCH($AA$86,$A$87:$H$87,0))*고양시_Modal_split!K$3 * 0.01</f>
        <v>1.5457893568673757</v>
      </c>
      <c r="AJ94" s="207">
        <f>INDEX($A$87:$H$100,MATCH($L94,$B$87:$B$100,0),MATCH($AA$86,$A$87:$H$87,0))*고양시_Modal_split!L$3 * 0.01</f>
        <v>31.121892384929833</v>
      </c>
      <c r="AK94" s="207">
        <f>INDEX($A$87:$H$100,MATCH($L94,$B$87:$B$100,0),MATCH($AA$86,$A$87:$H$87,0))*고양시_Modal_split!M$3 * 0.01</f>
        <v>2.3702103471966427</v>
      </c>
      <c r="AL94" s="207">
        <f>INDEX($A$87:$H$100,MATCH($L94,$B$87:$B$100,0),MATCH($AA$86,$A$87:$H$87,0))*고양시_Modal_split!N$3 * 0.01</f>
        <v>1.030526237911584</v>
      </c>
      <c r="AM94" s="207">
        <f>INDEX($A$87:$H$100,MATCH($L94,$B$87:$B$100,0),MATCH($AA$86,$A$87:$H$87,0))*고양시_Modal_split!O$3 * 0.01</f>
        <v>1.8549472282408508</v>
      </c>
      <c r="AN94" s="207">
        <f>INDEX($A$87:$H$100,MATCH($L94,$B$87:$B$100,0),MATCH($AA$86,$A$87:$H$87,0))*고양시_Modal_split!P$3 * 0.01</f>
        <v>1030.5262379115838</v>
      </c>
      <c r="AO94" s="303">
        <f>INDEX($A$87:$H$100,MATCH($L94,$B$87:$B$100,0),MATCH($AO$86,$A$87:$H$87,0))*고양시_Modal_split!C$3 * 0.01</f>
        <v>0.16553247060658074</v>
      </c>
      <c r="AP94" s="303">
        <f>INDEX($A$87:$H$100,MATCH($L94,$B$87:$B$100,0),MATCH($AO$86,$A$87:$H$87,0))*고양시_Modal_split!D$3 * 0.01</f>
        <v>27.803543187955334</v>
      </c>
      <c r="AQ94" s="303">
        <f>INDEX($A$87:$H$100,MATCH($L94,$B$87:$B$100,0),MATCH($AO$86,$A$87:$H$87,0))*고양시_Modal_split!E$3 * 0.01</f>
        <v>3.3638562776837304</v>
      </c>
      <c r="AR94" s="303">
        <f>INDEX($A$87:$H$100,MATCH($L94,$B$87:$B$100,0),MATCH($AO$86,$A$87:$H$87,0))*고양시_Modal_split!F$3 * 0.01</f>
        <v>5.4211884123655203</v>
      </c>
      <c r="AS94" s="303">
        <f>INDEX($A$87:$H$100,MATCH($L94,$B$87:$B$100,0),MATCH($AO$86,$A$87:$H$87,0))*고양시_Modal_split!G$3 * 0.01</f>
        <v>0.54389240342162248</v>
      </c>
      <c r="AT94" s="303">
        <f>INDEX($A$87:$H$100,MATCH($L94,$B$87:$B$100,0),MATCH($AO$86,$A$87:$H$87,0))*고양시_Modal_split!H$3 * 0.01</f>
        <v>5.9118739502350276E-3</v>
      </c>
      <c r="AU94" s="303">
        <f>INDEX($A$87:$H$100,MATCH($L94,$B$87:$B$100,0),MATCH($AO$86,$A$87:$H$87,0))*고양시_Modal_split!I$3 * 0.01</f>
        <v>1.6435009581653375</v>
      </c>
      <c r="AV94" s="303">
        <f>INDEX($A$87:$H$100,MATCH($L94,$B$87:$B$100,0),MATCH($AO$86,$A$87:$H$87,0))*고양시_Modal_split!J$3 * 0.01</f>
        <v>17.995744304515423</v>
      </c>
      <c r="AW94" s="303">
        <f>INDEX($A$87:$H$100,MATCH($L94,$B$87:$B$100,0),MATCH($AO$86,$A$87:$H$87,0))*고양시_Modal_split!K$3 * 0.01</f>
        <v>8.86781092535254E-2</v>
      </c>
      <c r="AX94" s="303">
        <f>INDEX($A$87:$H$100,MATCH($L94,$B$87:$B$100,0),MATCH($AO$86,$A$87:$H$87,0))*고양시_Modal_split!L$3 * 0.01</f>
        <v>1.7853859329709785</v>
      </c>
      <c r="AY94" s="303">
        <f>INDEX($A$87:$H$100,MATCH($L94,$B$87:$B$100,0),MATCH($AO$86,$A$87:$H$87,0))*고양시_Modal_split!M$3 * 0.01</f>
        <v>0.13597310085540562</v>
      </c>
      <c r="AZ94" s="303">
        <f>INDEX($A$87:$H$100,MATCH($L94,$B$87:$B$100,0),MATCH($AO$86,$A$87:$H$87,0))*고양시_Modal_split!N$3 * 0.01</f>
        <v>5.9118739502350276E-2</v>
      </c>
      <c r="BA94" s="207">
        <f>INDEX($A$87:$H$100,MATCH($L94,$B$87:$B$100,0),MATCH($AO$86,$A$87:$H$87,0))*고양시_Modal_split!O$3 * 0.01</f>
        <v>0.10641373110423048</v>
      </c>
      <c r="BB94" s="207">
        <f>INDEX($A$87:$H$100,MATCH($L94,$B$87:$B$100,0),MATCH($AO$86,$A$87:$H$87,0))*고양시_Modal_split!P$3 * 0.01</f>
        <v>59.118739502350273</v>
      </c>
      <c r="BC94" s="207">
        <f>INDEX($A$87:$H$100,MATCH($L94,$B$87:$B$100,0),MATCH($BC$86,$A$87:$H$87,0))*고양시_Modal_split!C$3 * 0.01</f>
        <v>2.6013484118373039E-4</v>
      </c>
      <c r="BD94" s="207">
        <f>INDEX($A$87:$H$100,MATCH($L94,$B$87:$B$100,0),MATCH($BC$86,$A$87:$H$87,0))*고양시_Modal_split!D$3 * 0.01</f>
        <v>4.3693362788824443E-2</v>
      </c>
      <c r="BE94" s="207">
        <f>INDEX($A$87:$H$100,MATCH($L94,$B$87:$B$100,0),MATCH($BC$86,$A$87:$H$87,0))*고양시_Modal_split!E$3 * 0.01</f>
        <v>5.2863115940550934E-3</v>
      </c>
      <c r="BF94" s="207">
        <f>INDEX($A$87:$H$100,MATCH($L94,$B$87:$B$100,0),MATCH($BC$86,$A$87:$H$87,0))*고양시_Modal_split!F$3 * 0.01</f>
        <v>8.519416048767171E-3</v>
      </c>
      <c r="BG94" s="207">
        <f>INDEX($A$87:$H$100,MATCH($L94,$B$87:$B$100,0),MATCH($BC$86,$A$87:$H$87,0))*고양시_Modal_split!G$3 * 0.01</f>
        <v>8.547287638894E-4</v>
      </c>
      <c r="BH94" s="207">
        <f>INDEX($A$87:$H$100,MATCH($L94,$B$87:$B$100,0),MATCH($BC$86,$A$87:$H$87,0))*고양시_Modal_split!H$3 * 0.01</f>
        <v>9.2905300422760876E-6</v>
      </c>
      <c r="BI94" s="207">
        <f>INDEX($A$87:$H$100,MATCH($L94,$B$87:$B$100,0),MATCH($BC$86,$A$87:$H$87,0))*고양시_Modal_split!I$3 * 0.01</f>
        <v>2.5827673517527516E-3</v>
      </c>
      <c r="BJ94" s="207">
        <f>INDEX($A$87:$H$100,MATCH($L94,$B$87:$B$100,0),MATCH($BC$86,$A$87:$H$87,0))*고양시_Modal_split!J$3 * 0.01</f>
        <v>2.8280373448688407E-2</v>
      </c>
      <c r="BK94" s="207">
        <f>INDEX($A$87:$H$100,MATCH($L94,$B$87:$B$100,0),MATCH($BC$86,$A$87:$H$87,0))*고양시_Modal_split!K$3 * 0.01</f>
        <v>1.3935795063414129E-4</v>
      </c>
      <c r="BL94" s="207">
        <f>INDEX($A$87:$H$100,MATCH($L94,$B$87:$B$100,0),MATCH($BC$86,$A$87:$H$87,0))*고양시_Modal_split!L$3 * 0.01</f>
        <v>2.8057400727673782E-3</v>
      </c>
      <c r="BM94" s="207">
        <f>INDEX($A$87:$H$100,MATCH($L94,$B$87:$B$100,0),MATCH($BC$86,$A$87:$H$87,0))*고양시_Modal_split!M$3 * 0.01</f>
        <v>2.1368219097235E-4</v>
      </c>
      <c r="BN94" s="207">
        <f>INDEX($A$87:$H$100,MATCH($L94,$B$87:$B$100,0),MATCH($BC$86,$A$87:$H$87,0))*고양시_Modal_split!N$3 * 0.01</f>
        <v>9.2905300422760879E-5</v>
      </c>
      <c r="BO94" s="207">
        <f>INDEX($A$87:$H$100,MATCH($L94,$B$87:$B$100,0),MATCH($BC$86,$A$87:$H$87,0))*고양시_Modal_split!O$3 * 0.01</f>
        <v>1.6722954076096953E-4</v>
      </c>
      <c r="BP94" s="207">
        <f>INDEX($A$87:$H$100,MATCH($L94,$B$87:$B$100,0),MATCH($BC$86,$A$87:$H$87,0))*고양시_Modal_split!P$3 * 0.01</f>
        <v>9.2905300422760878E-2</v>
      </c>
      <c r="BQ94" s="207">
        <f>INDEX($A$87:$H$100,MATCH($L94,$B$87:$B$100,0),MATCH($BQ$86,$A$87:$H$87,0))*고양시_Modal_split!C$3 * 0.01</f>
        <v>9.827316222496519E-4</v>
      </c>
      <c r="BR94" s="207">
        <f>INDEX($A$87:$H$100,MATCH($L94,$B$87:$B$100,0),MATCH($BQ$86,$A$87:$H$87,0))*고양시_Modal_split!D$3 * 0.01</f>
        <v>0.16506381498000405</v>
      </c>
      <c r="BS94" s="207">
        <f>INDEX($A$87:$H$100,MATCH($L94,$B$87:$B$100,0),MATCH($BQ$86,$A$87:$H$87,0))*고양시_Modal_split!E$3 * 0.01</f>
        <v>1.9970510466430426E-2</v>
      </c>
      <c r="BT94" s="207">
        <f>INDEX($A$87:$H$100,MATCH($L94,$B$87:$B$100,0),MATCH($BQ$86,$A$87:$H$87,0))*고양시_Modal_split!F$3 * 0.01</f>
        <v>3.2184460628676102E-2</v>
      </c>
      <c r="BU94" s="207">
        <f>INDEX($A$87:$H$100,MATCH($L94,$B$87:$B$100,0),MATCH($BQ$86,$A$87:$H$87,0))*고양시_Modal_split!G$3 * 0.01</f>
        <v>3.2289753302488563E-3</v>
      </c>
      <c r="BV94" s="207">
        <f>INDEX($A$87:$H$100,MATCH($L94,$B$87:$B$100,0),MATCH($BQ$86,$A$87:$H$87,0))*고양시_Modal_split!H$3 * 0.01</f>
        <v>3.5097557937487565E-5</v>
      </c>
      <c r="BW94" s="207">
        <f>INDEX($A$87:$H$100,MATCH($L94,$B$87:$B$100,0),MATCH($BQ$86,$A$87:$H$87,0))*고양시_Modal_split!I$3 * 0.01</f>
        <v>9.757121106621542E-3</v>
      </c>
      <c r="BX94" s="207">
        <f>INDEX($A$87:$H$100,MATCH($L94,$B$87:$B$100,0),MATCH($BQ$86,$A$87:$H$87,0))*고양시_Modal_split!J$3 * 0.01</f>
        <v>0.10683696636171217</v>
      </c>
      <c r="BY94" s="207">
        <f>INDEX($A$87:$H$100,MATCH($L94,$B$87:$B$100,0),MATCH($BQ$86,$A$87:$H$87,0))*고양시_Modal_split!K$3 * 0.01</f>
        <v>5.264633690623135E-4</v>
      </c>
      <c r="BZ94" s="207">
        <f>INDEX($A$87:$H$100,MATCH($L94,$B$87:$B$100,0),MATCH($BQ$86,$A$87:$H$87,0))*고양시_Modal_split!L$3 * 0.01</f>
        <v>1.0599462497121246E-2</v>
      </c>
      <c r="CA94" s="207">
        <f>INDEX($A$87:$H$100,MATCH($L94,$B$87:$B$100,0),MATCH($BQ$86,$A$87:$H$87,0))*고양시_Modal_split!M$3 * 0.01</f>
        <v>8.0724383256221407E-4</v>
      </c>
      <c r="CB94" s="207">
        <f>INDEX($A$87:$H$100,MATCH($L94,$B$87:$B$100,0),MATCH($BQ$86,$A$87:$H$87,0))*고양시_Modal_split!N$3 * 0.01</f>
        <v>3.5097557937487566E-4</v>
      </c>
      <c r="CC94" s="207">
        <f>INDEX($A$87:$H$100,MATCH($L94,$B$87:$B$100,0),MATCH($BQ$86,$A$87:$H$87,0))*고양시_Modal_split!O$3 * 0.01</f>
        <v>6.3175604287477624E-4</v>
      </c>
      <c r="CD94" s="207">
        <f>INDEX($A$87:$H$100,MATCH($L94,$B$87:$B$100,0),MATCH($BQ$86,$A$87:$H$87,0))*고양시_Modal_split!P$3 * 0.01</f>
        <v>0.35097557937487567</v>
      </c>
      <c r="CE94" s="304">
        <f t="shared" si="69"/>
        <v>3.4509488031433806</v>
      </c>
      <c r="CF94" s="304">
        <f t="shared" si="51"/>
        <v>579.63615075654729</v>
      </c>
      <c r="CG94" s="304">
        <f t="shared" si="52"/>
        <v>70.128209606735126</v>
      </c>
      <c r="CH94" s="304">
        <f t="shared" si="53"/>
        <v>113.01857330294573</v>
      </c>
      <c r="CI94" s="304">
        <f t="shared" si="54"/>
        <v>11.338831781756822</v>
      </c>
      <c r="CJ94" s="304">
        <f t="shared" si="55"/>
        <v>0.12324817154083503</v>
      </c>
      <c r="CK94" s="304">
        <f t="shared" si="56"/>
        <v>34.262991688352145</v>
      </c>
      <c r="CL94" s="304">
        <f t="shared" si="57"/>
        <v>375.16743417030187</v>
      </c>
      <c r="CM94" s="304">
        <f t="shared" si="58"/>
        <v>1.8487225731125252</v>
      </c>
      <c r="CN94" s="304">
        <f t="shared" si="59"/>
        <v>37.220947805332173</v>
      </c>
      <c r="CO94" s="304">
        <f t="shared" si="60"/>
        <v>2.8347079454392055</v>
      </c>
      <c r="CP94" s="304">
        <f t="shared" si="61"/>
        <v>1.2324817154083505</v>
      </c>
      <c r="CQ94" s="304">
        <f t="shared" si="62"/>
        <v>2.2184670877350303</v>
      </c>
      <c r="CR94" s="304">
        <f t="shared" si="63"/>
        <v>1232.4817154083501</v>
      </c>
      <c r="CS94" s="305">
        <f t="shared" si="70"/>
        <v>0</v>
      </c>
      <c r="CV94" s="267" t="s">
        <v>167</v>
      </c>
      <c r="CW94" s="267" t="s">
        <v>167</v>
      </c>
      <c r="CX94" s="267">
        <f>INDEX($M$86:$Z$100,MATCH($CW94,$L$86:$L$100,0),MATCH(CX$87,$M$87:$Z$87,0))/INDEX(고양시_재차인원!$D$4:$H$35,MATCH("고양시",고양시_재차인원!$B$4:$B$35,0),MATCH($CX$86,고양시_재차인원!$D$4:$H$4,0))</f>
        <v>59.792286340183125</v>
      </c>
      <c r="CY94" s="267">
        <f>INDEX($M$86:$Z$100,MATCH($CW94,$L$86:$L$100,0),MATCH(CY$87,$M$87:$Z$87,0))/INDEX(고양시_재차인원!$K$4:$O$20,MATCH("경기도",고양시_재차인원!$K$4:$K$20,0),MATCH($CY$87,고양시_재차인원!$K$4:$O$4,0))</f>
        <v>4.9459137587571571E-4</v>
      </c>
      <c r="CZ94" s="267">
        <f>INDEX($M$86:$Z$100,MATCH($CW94,$L$86:$L$100,0),MATCH(CZ$87,$M$87:$Z$87,0))/INDEX(고양시_재차인원!$K$4:$O$20,MATCH("경기도",고양시_재차인원!$K$4:$K$20,0),MATCH($CZ$87,고양시_재차인원!$K$4:$O$4,0))</f>
        <v>0.13749640249344897</v>
      </c>
      <c r="DA94" s="267">
        <f>INDEX($M$86:$Z$100,MATCH($CW94,$L$86:$L$100,0),MATCH(DA$87,$M$87:$Z$87,0))/INDEX(고양시_재차인원!$D$4:$H$35,MATCH("고양시",고양시_재차인원!$B$4:$B$35,0),MATCH($CX$86,고양시_재차인원!$D$4:$H$4,0))</f>
        <v>3.8395216829120358</v>
      </c>
      <c r="DB94" s="267">
        <f>INDEX($AA$86:$AN$100,MATCH($CW94,$L$86:$L$100,0),MATCH(DB$87,$AA$87:$AN$87,0))/INDEX(고양시_재차인원!$D$4:$H$35,MATCH("고양시",고양시_재차인원!$B$4:$B$35,0),MATCH($DB$86,고양시_재차인원!$D$4:$H$4,0))</f>
        <v>343.72800687221132</v>
      </c>
      <c r="DC94" s="267">
        <f>INDEX($AA$86:$AN$100,MATCH($CW94,$L$86:$L$100,0),MATCH(DC$87,$AA$87:$AN$87,0))/INDEX(고양시_재차인원!$K$4:$O$20,MATCH("경기도",고양시_재차인원!$K$4:$K$20,0),MATCH(DC$87,고양시_재차인원!$K$4:$O$4,0))</f>
        <v>3.5794589715581241E-3</v>
      </c>
      <c r="DD94" s="267">
        <f>INDEX($AA$86:$AN$100,MATCH($CW94,$L$86:$L$100,0),MATCH(DD$87,$AA$87:$AN$87,0))/INDEX(고양시_재차인원!$K$4:$O$20,MATCH("경기도",고양시_재차인원!$K$4:$K$20,0),MATCH(DD$87,고양시_재차인원!$K$4:$O$4,0))</f>
        <v>0.99508959409315845</v>
      </c>
      <c r="DE94" s="267">
        <f>INDEX($AA$86:$AN$100,MATCH($CW94,$L$86:$L$100,0),MATCH(DE$87,$AA$87:$AN$87,0))/INDEX(고양시_재차인원!$D$4:$H$35,MATCH("고양시",고양시_재차인원!$B$4:$B$35,0),MATCH($DB$86,고양시_재차인원!$D$4:$H$4,0))</f>
        <v>22.072264102787116</v>
      </c>
      <c r="DF94" s="267">
        <f>INDEX($AO$86:$BB$100,MATCH($CW94,$L$86:$L$100,0),MATCH(DF$87,$AO$87:$BB$87,0))/INDEX(고양시_재차인원!$D$4:$H$35,MATCH("고양시",고양시_재차인원!$B$4:$B$35,0),MATCH($DF$86,고양시_재차인원!$D$4:$H$4,0))</f>
        <v>21.387340913811794</v>
      </c>
      <c r="DG94" s="267">
        <f>INDEX($AO$86:$BB$100,MATCH($CW94,$L$86:$L$100,0),MATCH(DG$87,$AO$87:$BB$87,0))/INDEX(고양시_재차인원!$K$4:$O$20,MATCH("경기도",고양시_재차인원!$K$4:$K$20,0),MATCH(DG$87,고양시_재차인원!$K$4:$O$4,0))</f>
        <v>2.0534470129333199E-4</v>
      </c>
      <c r="DH94" s="267">
        <f>INDEX($AO$86:$BB$100,MATCH($CW94,$L$86:$L$100,0),MATCH(DH$87,$AO$87:$BB$87,0))/INDEX(고양시_재차인원!$K$4:$O$20,MATCH("경기도",고양시_재차인원!$K$4:$K$20,0),MATCH(DH$87,고양시_재차인원!$K$4:$O$4,0))</f>
        <v>5.7085826959546282E-2</v>
      </c>
      <c r="DI94" s="267">
        <f>INDEX($AO$86:$BB$100,MATCH($CW94,$L$86:$L$100,0),MATCH(DI$87,$AO$87:$BB$87,0))/INDEX(고양시_재차인원!$D$4:$H$35,MATCH("고양시",고양시_재차인원!$B$4:$B$35,0),MATCH($DF$86,고양시_재차인원!$D$4:$H$4,0))</f>
        <v>1.3733737945930604</v>
      </c>
      <c r="DJ94" s="267">
        <f>INDEX($BC$86:$BP$100,MATCH($CW94,$L$86:$L$100,0),MATCH(DJ$87,$BC$87:$BP$87,0))/INDEX(고양시_재차인원!$D$4:$H$35,MATCH("고양시",고양시_재차인원!$B$4:$B$35,0),MATCH($DJ$86,고양시_재차인원!$D$4:$H$4,0))</f>
        <v>3.2127472638841498E-2</v>
      </c>
      <c r="DK94" s="267">
        <f>INDEX($BC$86:$BP$100,MATCH($CW94,$L$86:$L$100,0),MATCH(DK$87,$BC$87:$BP$87,0))/INDEX(고양시_재차인원!$K$4:$O$20,MATCH("경기도",고양시_재차인원!$K$4:$K$20,0),MATCH(DK$87,고양시_재차인원!$K$4:$O$4,0))</f>
        <v>3.2269989726558135E-7</v>
      </c>
      <c r="DL94" s="267">
        <f>INDEX($BC$86:$BP$100,MATCH($CW94,$L$86:$L$100,0),MATCH(DL$87,$BC$87:$BP$87,0))/INDEX(고양시_재차인원!$K$4:$O$20,MATCH("경기도",고양시_재차인원!$K$4:$K$20,0),MATCH(DL$87,고양시_재차인원!$K$4:$O$4,0))</f>
        <v>8.9710571439831604E-5</v>
      </c>
      <c r="DM94" s="267">
        <f>INDEX($BC$86:$BP$100,MATCH($CW94,$L$86:$L$100,0),MATCH(DM$87,$BC$87:$BP$87,0))/INDEX(고양시_재차인원!$D$4:$H$35,MATCH("고양시",고양시_재차인원!$B$4:$B$35,0),MATCH($DJ$86,고양시_재차인원!$D$4:$H$4,0))</f>
        <v>2.0630441711524837E-3</v>
      </c>
      <c r="DN94" s="267">
        <f>INDEX($BQ$86:$CD$100,MATCH($CW94,$L$86:$L$100,0),MATCH(DN$87,$BQ$87:$CD$87,0))/INDEX(고양시_재차인원!$D$4:$H$35,MATCH("고양시",고양시_재차인원!$B$4:$B$35,0),MATCH($DN$86,고양시_재차인원!$D$4:$H$4,0))</f>
        <v>0.13100302776190798</v>
      </c>
      <c r="DO94" s="267">
        <f>INDEX($BQ$86:$CD$100,MATCH($CW94,$L$86:$L$100,0),MATCH(DO$87,$BQ$87:$CD$87,0))/INDEX(고양시_재차인원!$K$4:$O$20,MATCH("경기도",고양시_재차인원!$K$4:$K$20,0),MATCH(DO$87,고양시_재차인원!$K$4:$O$4,0))</f>
        <v>1.2190885007810894E-6</v>
      </c>
      <c r="DP94" s="267">
        <f>INDEX($BQ$86:$CD$100,MATCH($CW94,$L$86:$L$100,0),MATCH(DP$87,$BQ$87:$CD$87,0))/INDEX(고양시_재차인원!$K$4:$O$20,MATCH("경기도",고양시_재차인원!$K$4:$K$20,0),MATCH(DP$87,고양시_재차인원!$K$4:$O$4,0))</f>
        <v>3.3890660321714283E-4</v>
      </c>
      <c r="DQ94" s="267">
        <f>INDEX($BQ$86:$CD$100,MATCH($CW94,$L$86:$L$100,0),MATCH(DQ$87,$BQ$87:$CD$87,0))/INDEX(고양시_재차인원!$D$4:$H$35,MATCH("고양시",고양시_재차인원!$B$4:$B$35,0),MATCH($DN$86,고양시_재차인원!$D$4:$H$4,0))</f>
        <v>8.4122718231121E-3</v>
      </c>
      <c r="DR94" s="270">
        <f t="shared" si="71"/>
        <v>425.07076462660694</v>
      </c>
      <c r="DS94" s="270">
        <f t="shared" si="64"/>
        <v>4.280936837125218E-3</v>
      </c>
      <c r="DT94" s="270">
        <f t="shared" si="65"/>
        <v>1.1901004407208107</v>
      </c>
      <c r="DU94" s="270">
        <f t="shared" si="66"/>
        <v>27.295634896286476</v>
      </c>
      <c r="DW94" s="278" t="s">
        <v>167</v>
      </c>
      <c r="DX94" s="278" t="s">
        <v>167</v>
      </c>
      <c r="DY94" s="281">
        <f t="shared" si="72"/>
        <v>452.3663995228934</v>
      </c>
      <c r="DZ94" s="281">
        <f t="shared" si="73"/>
        <v>1.1943813775579359</v>
      </c>
      <c r="EB94" s="278" t="s">
        <v>168</v>
      </c>
      <c r="EC94" s="278" t="s">
        <v>168</v>
      </c>
      <c r="ED94" s="281">
        <f>DY95</f>
        <v>1717.8613927069209</v>
      </c>
      <c r="EE94" s="281">
        <f t="shared" ref="EE94:EE99" si="80">DZ95</f>
        <v>4.5356632562429056</v>
      </c>
      <c r="EK94" s="420" t="s">
        <v>168</v>
      </c>
      <c r="EL94" s="420" t="s">
        <v>168</v>
      </c>
      <c r="EM94" s="420" t="s">
        <v>570</v>
      </c>
      <c r="EN94" s="420">
        <v>63163.374600000003</v>
      </c>
      <c r="EO94" s="420">
        <v>0.3749310795992149</v>
      </c>
      <c r="EP94" s="421">
        <v>849007</v>
      </c>
      <c r="EQ94" s="422">
        <f t="shared" si="75"/>
        <v>625.72335721218838</v>
      </c>
      <c r="ER94" s="422">
        <f t="shared" si="76"/>
        <v>1.6520951294028363</v>
      </c>
      <c r="ES94">
        <v>0</v>
      </c>
      <c r="EU94" s="306" t="s">
        <v>168</v>
      </c>
      <c r="EV94" s="306" t="s">
        <v>168</v>
      </c>
      <c r="EW94" s="306" t="s">
        <v>570</v>
      </c>
      <c r="EX94" s="306">
        <v>63163.374600000003</v>
      </c>
      <c r="EY94" s="306">
        <v>0.3749310795992149</v>
      </c>
      <c r="EZ94" s="307">
        <v>849007</v>
      </c>
      <c r="FA94" s="308">
        <f t="shared" si="77"/>
        <v>625.72335721218838</v>
      </c>
      <c r="FB94" s="308">
        <f t="shared" si="68"/>
        <v>1.6520951294028363</v>
      </c>
      <c r="FD94" s="101"/>
      <c r="FE94" s="101"/>
      <c r="FF94" s="101"/>
      <c r="FG94" s="101"/>
      <c r="FH94" s="101"/>
      <c r="FI94" s="374"/>
      <c r="FJ94" s="404"/>
      <c r="FK94" s="404"/>
    </row>
    <row r="95" spans="1:167">
      <c r="A95" s="205" t="s">
        <v>168</v>
      </c>
      <c r="B95" s="205" t="s">
        <v>168</v>
      </c>
      <c r="C95" s="201">
        <f>$K36*KTDB_TripDistribution_2025!T$12</f>
        <v>540.73687190831447</v>
      </c>
      <c r="D95" s="201">
        <f>$K36*KTDB_TripDistribution_2025!U$12</f>
        <v>3913.4233668701677</v>
      </c>
      <c r="E95" s="201">
        <f>$K36*KTDB_TripDistribution_2025!V$12</f>
        <v>224.50341202108987</v>
      </c>
      <c r="F95" s="201">
        <f>$K36*KTDB_TripDistribution_2025!W$12</f>
        <v>0.3528078764082076</v>
      </c>
      <c r="G95" s="201">
        <f>$K36*KTDB_TripDistribution_2025!X$12</f>
        <v>1.3328297553199002</v>
      </c>
      <c r="H95" s="201">
        <f>$K36*KTDB_TripDistribution_2025!Y$12</f>
        <v>4680.3492884313009</v>
      </c>
      <c r="I95" s="56"/>
      <c r="J95" s="56"/>
      <c r="K95" s="206" t="s">
        <v>168</v>
      </c>
      <c r="L95" s="206" t="s">
        <v>168</v>
      </c>
      <c r="M95" s="206">
        <f>INDEX($A$87:$H$100,MATCH($L95,$B$87:$B$100,0),MATCH($M$86,$A$87:$H$87,0))*고양시_Modal_split!C$3 * 0.01</f>
        <v>1.5140632413432804</v>
      </c>
      <c r="N95" s="206">
        <f>INDEX($A$87:$H$100,MATCH($L95,$B$87:$B$100,0),MATCH($M$86,$A$87:$H$87,0))*고양시_Modal_split!D$3 * 0.01</f>
        <v>254.30855085848032</v>
      </c>
      <c r="O95" s="206">
        <f>INDEX($A$87:$H$100,MATCH($L95,$B$87:$B$100,0),MATCH($M$86,$A$87:$H$87,0))*고양시_Modal_split!E$3 * 0.01</f>
        <v>30.767928011583091</v>
      </c>
      <c r="P95" s="206">
        <f>INDEX($A$87:$H$100,MATCH($L95,$B$87:$B$100,0),MATCH($M$86,$A$87:$H$87,0))*고양시_Modal_split!F$3 * 0.01</f>
        <v>49.585571153992433</v>
      </c>
      <c r="Q95" s="206">
        <f>INDEX($A$87:$H$100,MATCH($L95,$B$87:$B$100,0),MATCH($M$86,$A$87:$H$87,0))*고양시_Modal_split!G$3 * 0.01</f>
        <v>4.974779221556493</v>
      </c>
      <c r="R95" s="206">
        <f>INDEX($A$87:$H$100,MATCH($L95,$B$87:$B$100,0),MATCH($M$86,$A$87:$H$87,0))*고양시_Modal_split!H$3 * 0.01</f>
        <v>5.407368719083145E-2</v>
      </c>
      <c r="S95" s="206">
        <f>INDEX($A$87:$H$100,MATCH($L95,$B$87:$B$100,0),MATCH($M$86,$A$87:$H$87,0))*고양시_Modal_split!I$3 * 0.01</f>
        <v>15.032485039051142</v>
      </c>
      <c r="T95" s="206">
        <f>INDEX($A$87:$H$100,MATCH($L95,$B$87:$B$100,0),MATCH($M$86,$A$87:$H$87,0))*고양시_Modal_split!J$3 * 0.01</f>
        <v>164.60030380889094</v>
      </c>
      <c r="U95" s="206">
        <f>INDEX($A$87:$H$100,MATCH($L95,$B$87:$B$100,0),MATCH($M$86,$A$87:$H$87,0))*고양시_Modal_split!K$3 * 0.01</f>
        <v>0.8111053078624717</v>
      </c>
      <c r="V95" s="206">
        <f>INDEX($A$87:$H$100,MATCH($L95,$B$87:$B$100,0),MATCH($M$86,$A$87:$H$87,0))*고양시_Modal_split!L$3 * 0.01</f>
        <v>16.330253531631097</v>
      </c>
      <c r="W95" s="206">
        <f>INDEX($A$87:$H$100,MATCH($L95,$B$87:$B$100,0),MATCH($M$86,$A$87:$H$87,0))*고양시_Modal_split!M$3 * 0.01</f>
        <v>1.2436948053891232</v>
      </c>
      <c r="X95" s="206">
        <f>INDEX($A$87:$H$100,MATCH($L95,$B$87:$B$100,0),MATCH($M$86,$A$87:$H$87,0))*고양시_Modal_split!N$3 * 0.01</f>
        <v>0.54073687190831454</v>
      </c>
      <c r="Y95" s="206">
        <f>INDEX($A$87:$H$100,MATCH($L95,$B$87:$B$100,0),MATCH($M$86,$A$87:$H$87,0))*고양시_Modal_split!O$3 * 0.01</f>
        <v>0.97332636943496598</v>
      </c>
      <c r="Z95" s="209">
        <f>INDEX($A$87:$H$100,MATCH($L95,$B$87:$B$100,0),MATCH($M$86,$A$87:$H$87,0))*고양시_Modal_split!P$3 * 0.01</f>
        <v>540.73687190831447</v>
      </c>
      <c r="AA95" s="207">
        <f>INDEX($A$87:$H$100,MATCH($L95,$B$87:$B$100,0),MATCH($AA$86,$A$87:$H$87,0))*고양시_Modal_split!C$3 * 0.01</f>
        <v>10.957585427236468</v>
      </c>
      <c r="AB95" s="207">
        <f>INDEX($A$87:$H$100,MATCH($L95,$B$87:$B$100,0),MATCH($AA$86,$A$87:$H$87,0))*고양시_Modal_split!D$3 * 0.01</f>
        <v>1840.48300943904</v>
      </c>
      <c r="AC95" s="207">
        <f>INDEX($A$87:$H$100,MATCH($L95,$B$87:$B$100,0),MATCH($AA$86,$A$87:$H$87,0))*고양시_Modal_split!E$3 * 0.01</f>
        <v>222.67378957491252</v>
      </c>
      <c r="AD95" s="207">
        <f>INDEX($A$87:$H$100,MATCH($L95,$B$87:$B$100,0),MATCH($AA$86,$A$87:$H$87,0))*고양시_Modal_split!F$3 * 0.01</f>
        <v>358.86092274199439</v>
      </c>
      <c r="AE95" s="207">
        <f>INDEX($A$87:$H$100,MATCH($L95,$B$87:$B$100,0),MATCH($AA$86,$A$87:$H$87,0))*고양시_Modal_split!G$3 * 0.01</f>
        <v>36.003494975205541</v>
      </c>
      <c r="AF95" s="207">
        <f>INDEX($A$87:$H$100,MATCH($L95,$B$87:$B$100,0),MATCH($AA$86,$A$87:$H$87,0))*고양시_Modal_split!H$3 * 0.01</f>
        <v>0.39134233668701679</v>
      </c>
      <c r="AG95" s="207">
        <f>INDEX($A$87:$H$100,MATCH($L95,$B$87:$B$100,0),MATCH($AA$86,$A$87:$H$87,0))*고양시_Modal_split!I$3 * 0.01</f>
        <v>108.79316959899066</v>
      </c>
      <c r="AH95" s="207">
        <f>INDEX($A$87:$H$100,MATCH($L95,$B$87:$B$100,0),MATCH($AA$86,$A$87:$H$87,0))*고양시_Modal_split!J$3 * 0.01</f>
        <v>1191.2460728752792</v>
      </c>
      <c r="AI95" s="207">
        <f>INDEX($A$87:$H$100,MATCH($L95,$B$87:$B$100,0),MATCH($AA$86,$A$87:$H$87,0))*고양시_Modal_split!K$3 * 0.01</f>
        <v>5.8701350503052518</v>
      </c>
      <c r="AJ95" s="207">
        <f>INDEX($A$87:$H$100,MATCH($L95,$B$87:$B$100,0),MATCH($AA$86,$A$87:$H$87,0))*고양시_Modal_split!L$3 * 0.01</f>
        <v>118.18538567947905</v>
      </c>
      <c r="AK95" s="207">
        <f>INDEX($A$87:$H$100,MATCH($L95,$B$87:$B$100,0),MATCH($AA$86,$A$87:$H$87,0))*고양시_Modal_split!M$3 * 0.01</f>
        <v>9.0008737438013853</v>
      </c>
      <c r="AL95" s="207">
        <f>INDEX($A$87:$H$100,MATCH($L95,$B$87:$B$100,0),MATCH($AA$86,$A$87:$H$87,0))*고양시_Modal_split!N$3 * 0.01</f>
        <v>3.9134233668701679</v>
      </c>
      <c r="AM95" s="207">
        <f>INDEX($A$87:$H$100,MATCH($L95,$B$87:$B$100,0),MATCH($AA$86,$A$87:$H$87,0))*고양시_Modal_split!O$3 * 0.01</f>
        <v>7.0441620603663013</v>
      </c>
      <c r="AN95" s="207">
        <f>INDEX($A$87:$H$100,MATCH($L95,$B$87:$B$100,0),MATCH($AA$86,$A$87:$H$87,0))*고양시_Modal_split!P$3 * 0.01</f>
        <v>3913.4233668701677</v>
      </c>
      <c r="AO95" s="303">
        <f>INDEX($A$87:$H$100,MATCH($L95,$B$87:$B$100,0),MATCH($AO$86,$A$87:$H$87,0))*고양시_Modal_split!C$3 * 0.01</f>
        <v>0.62860955365905158</v>
      </c>
      <c r="AP95" s="303">
        <f>INDEX($A$87:$H$100,MATCH($L95,$B$87:$B$100,0),MATCH($AO$86,$A$87:$H$87,0))*고양시_Modal_split!D$3 * 0.01</f>
        <v>105.58395467351856</v>
      </c>
      <c r="AQ95" s="303">
        <f>INDEX($A$87:$H$100,MATCH($L95,$B$87:$B$100,0),MATCH($AO$86,$A$87:$H$87,0))*고양시_Modal_split!E$3 * 0.01</f>
        <v>12.774244144000013</v>
      </c>
      <c r="AR95" s="303">
        <f>INDEX($A$87:$H$100,MATCH($L95,$B$87:$B$100,0),MATCH($AO$86,$A$87:$H$87,0))*고양시_Modal_split!F$3 * 0.01</f>
        <v>20.586962882333943</v>
      </c>
      <c r="AS95" s="303">
        <f>INDEX($A$87:$H$100,MATCH($L95,$B$87:$B$100,0),MATCH($AO$86,$A$87:$H$87,0))*고양시_Modal_split!G$3 * 0.01</f>
        <v>2.0654313905940267</v>
      </c>
      <c r="AT95" s="303">
        <f>INDEX($A$87:$H$100,MATCH($L95,$B$87:$B$100,0),MATCH($AO$86,$A$87:$H$87,0))*고양시_Modal_split!H$3 * 0.01</f>
        <v>2.2450341202108991E-2</v>
      </c>
      <c r="AU95" s="303">
        <f>INDEX($A$87:$H$100,MATCH($L95,$B$87:$B$100,0),MATCH($AO$86,$A$87:$H$87,0))*고양시_Modal_split!I$3 * 0.01</f>
        <v>6.2411948541862978</v>
      </c>
      <c r="AV95" s="303">
        <f>INDEX($A$87:$H$100,MATCH($L95,$B$87:$B$100,0),MATCH($AO$86,$A$87:$H$87,0))*고양시_Modal_split!J$3 * 0.01</f>
        <v>68.338838619219757</v>
      </c>
      <c r="AW95" s="303">
        <f>INDEX($A$87:$H$100,MATCH($L95,$B$87:$B$100,0),MATCH($AO$86,$A$87:$H$87,0))*고양시_Modal_split!K$3 * 0.01</f>
        <v>0.33675511803163483</v>
      </c>
      <c r="AX95" s="303">
        <f>INDEX($A$87:$H$100,MATCH($L95,$B$87:$B$100,0),MATCH($AO$86,$A$87:$H$87,0))*고양시_Modal_split!L$3 * 0.01</f>
        <v>6.7800030430369143</v>
      </c>
      <c r="AY95" s="303">
        <f>INDEX($A$87:$H$100,MATCH($L95,$B$87:$B$100,0),MATCH($AO$86,$A$87:$H$87,0))*고양시_Modal_split!M$3 * 0.01</f>
        <v>0.51635784764850667</v>
      </c>
      <c r="AZ95" s="303">
        <f>INDEX($A$87:$H$100,MATCH($L95,$B$87:$B$100,0),MATCH($AO$86,$A$87:$H$87,0))*고양시_Modal_split!N$3 * 0.01</f>
        <v>0.22450341202108987</v>
      </c>
      <c r="BA95" s="207">
        <f>INDEX($A$87:$H$100,MATCH($L95,$B$87:$B$100,0),MATCH($AO$86,$A$87:$H$87,0))*고양시_Modal_split!O$3 * 0.01</f>
        <v>0.40410614163796177</v>
      </c>
      <c r="BB95" s="207">
        <f>INDEX($A$87:$H$100,MATCH($L95,$B$87:$B$100,0),MATCH($AO$86,$A$87:$H$87,0))*고양시_Modal_split!P$3 * 0.01</f>
        <v>224.50341202108987</v>
      </c>
      <c r="BC95" s="207">
        <f>INDEX($A$87:$H$100,MATCH($L95,$B$87:$B$100,0),MATCH($BC$86,$A$87:$H$87,0))*고양시_Modal_split!C$3 * 0.01</f>
        <v>9.8786205394298132E-4</v>
      </c>
      <c r="BD95" s="207">
        <f>INDEX($A$87:$H$100,MATCH($L95,$B$87:$B$100,0),MATCH($BC$86,$A$87:$H$87,0))*고양시_Modal_split!D$3 * 0.01</f>
        <v>0.16592554427478004</v>
      </c>
      <c r="BE95" s="207">
        <f>INDEX($A$87:$H$100,MATCH($L95,$B$87:$B$100,0),MATCH($BC$86,$A$87:$H$87,0))*고양시_Modal_split!E$3 * 0.01</f>
        <v>2.0074768167627013E-2</v>
      </c>
      <c r="BF95" s="207">
        <f>INDEX($A$87:$H$100,MATCH($L95,$B$87:$B$100,0),MATCH($BC$86,$A$87:$H$87,0))*고양시_Modal_split!F$3 * 0.01</f>
        <v>3.2352482266632634E-2</v>
      </c>
      <c r="BG95" s="207">
        <f>INDEX($A$87:$H$100,MATCH($L95,$B$87:$B$100,0),MATCH($BC$86,$A$87:$H$87,0))*고양시_Modal_split!G$3 * 0.01</f>
        <v>3.2458324629555096E-3</v>
      </c>
      <c r="BH95" s="207">
        <f>INDEX($A$87:$H$100,MATCH($L95,$B$87:$B$100,0),MATCH($BC$86,$A$87:$H$87,0))*고양시_Modal_split!H$3 * 0.01</f>
        <v>3.5280787640820757E-5</v>
      </c>
      <c r="BI95" s="207">
        <f>INDEX($A$87:$H$100,MATCH($L95,$B$87:$B$100,0),MATCH($BC$86,$A$87:$H$87,0))*고양시_Modal_split!I$3 * 0.01</f>
        <v>9.8080589641481707E-3</v>
      </c>
      <c r="BJ95" s="207">
        <f>INDEX($A$87:$H$100,MATCH($L95,$B$87:$B$100,0),MATCH($BC$86,$A$87:$H$87,0))*고양시_Modal_split!J$3 * 0.01</f>
        <v>0.1073947175786584</v>
      </c>
      <c r="BK95" s="207">
        <f>INDEX($A$87:$H$100,MATCH($L95,$B$87:$B$100,0),MATCH($BC$86,$A$87:$H$87,0))*고양시_Modal_split!K$3 * 0.01</f>
        <v>5.2921181461231144E-4</v>
      </c>
      <c r="BL95" s="207">
        <f>INDEX($A$87:$H$100,MATCH($L95,$B$87:$B$100,0),MATCH($BC$86,$A$87:$H$87,0))*고양시_Modal_split!L$3 * 0.01</f>
        <v>1.065479786752787E-2</v>
      </c>
      <c r="BM95" s="207">
        <f>INDEX($A$87:$H$100,MATCH($L95,$B$87:$B$100,0),MATCH($BC$86,$A$87:$H$87,0))*고양시_Modal_split!M$3 * 0.01</f>
        <v>8.1145811573887739E-4</v>
      </c>
      <c r="BN95" s="207">
        <f>INDEX($A$87:$H$100,MATCH($L95,$B$87:$B$100,0),MATCH($BC$86,$A$87:$H$87,0))*고양시_Modal_split!N$3 * 0.01</f>
        <v>3.5280787640820757E-4</v>
      </c>
      <c r="BO95" s="207">
        <f>INDEX($A$87:$H$100,MATCH($L95,$B$87:$B$100,0),MATCH($BC$86,$A$87:$H$87,0))*고양시_Modal_split!O$3 * 0.01</f>
        <v>6.3505417753477369E-4</v>
      </c>
      <c r="BP95" s="207">
        <f>INDEX($A$87:$H$100,MATCH($L95,$B$87:$B$100,0),MATCH($BC$86,$A$87:$H$87,0))*고양시_Modal_split!P$3 * 0.01</f>
        <v>0.3528078764082076</v>
      </c>
      <c r="BQ95" s="207">
        <f>INDEX($A$87:$H$100,MATCH($L95,$B$87:$B$100,0),MATCH($BQ$86,$A$87:$H$87,0))*고양시_Modal_split!C$3 * 0.01</f>
        <v>3.7319233148957204E-3</v>
      </c>
      <c r="BR95" s="207">
        <f>INDEX($A$87:$H$100,MATCH($L95,$B$87:$B$100,0),MATCH($BQ$86,$A$87:$H$87,0))*고양시_Modal_split!D$3 * 0.01</f>
        <v>0.62682983392694913</v>
      </c>
      <c r="BS95" s="207">
        <f>INDEX($A$87:$H$100,MATCH($L95,$B$87:$B$100,0),MATCH($BQ$86,$A$87:$H$87,0))*고양시_Modal_split!E$3 * 0.01</f>
        <v>7.5838013077702313E-2</v>
      </c>
      <c r="BT95" s="207">
        <f>INDEX($A$87:$H$100,MATCH($L95,$B$87:$B$100,0),MATCH($BQ$86,$A$87:$H$87,0))*고양시_Modal_split!F$3 * 0.01</f>
        <v>0.12222048856283485</v>
      </c>
      <c r="BU95" s="207">
        <f>INDEX($A$87:$H$100,MATCH($L95,$B$87:$B$100,0),MATCH($BQ$86,$A$87:$H$87,0))*고양시_Modal_split!G$3 * 0.01</f>
        <v>1.2262033748943081E-2</v>
      </c>
      <c r="BV95" s="207">
        <f>INDEX($A$87:$H$100,MATCH($L95,$B$87:$B$100,0),MATCH($BQ$86,$A$87:$H$87,0))*고양시_Modal_split!H$3 * 0.01</f>
        <v>1.3328297553199004E-4</v>
      </c>
      <c r="BW95" s="207">
        <f>INDEX($A$87:$H$100,MATCH($L95,$B$87:$B$100,0),MATCH($BQ$86,$A$87:$H$87,0))*고양시_Modal_split!I$3 * 0.01</f>
        <v>3.7052667197893227E-2</v>
      </c>
      <c r="BX95" s="207">
        <f>INDEX($A$87:$H$100,MATCH($L95,$B$87:$B$100,0),MATCH($BQ$86,$A$87:$H$87,0))*고양시_Modal_split!J$3 * 0.01</f>
        <v>0.40571337751937764</v>
      </c>
      <c r="BY95" s="207">
        <f>INDEX($A$87:$H$100,MATCH($L95,$B$87:$B$100,0),MATCH($BQ$86,$A$87:$H$87,0))*고양시_Modal_split!K$3 * 0.01</f>
        <v>1.9992446329798502E-3</v>
      </c>
      <c r="BZ95" s="207">
        <f>INDEX($A$87:$H$100,MATCH($L95,$B$87:$B$100,0),MATCH($BQ$86,$A$87:$H$87,0))*고양시_Modal_split!L$3 * 0.01</f>
        <v>4.0251458610660984E-2</v>
      </c>
      <c r="CA95" s="207">
        <f>INDEX($A$87:$H$100,MATCH($L95,$B$87:$B$100,0),MATCH($BQ$86,$A$87:$H$87,0))*고양시_Modal_split!M$3 * 0.01</f>
        <v>3.0655084372357704E-3</v>
      </c>
      <c r="CB95" s="207">
        <f>INDEX($A$87:$H$100,MATCH($L95,$B$87:$B$100,0),MATCH($BQ$86,$A$87:$H$87,0))*고양시_Modal_split!N$3 * 0.01</f>
        <v>1.3328297553199004E-3</v>
      </c>
      <c r="CC95" s="207">
        <f>INDEX($A$87:$H$100,MATCH($L95,$B$87:$B$100,0),MATCH($BQ$86,$A$87:$H$87,0))*고양시_Modal_split!O$3 * 0.01</f>
        <v>2.3990935595758203E-3</v>
      </c>
      <c r="CD95" s="207">
        <f>INDEX($A$87:$H$100,MATCH($L95,$B$87:$B$100,0),MATCH($BQ$86,$A$87:$H$87,0))*고양시_Modal_split!P$3 * 0.01</f>
        <v>1.3328297553199002</v>
      </c>
      <c r="CE95" s="304">
        <f t="shared" si="69"/>
        <v>13.104978007607638</v>
      </c>
      <c r="CF95" s="304">
        <f t="shared" si="51"/>
        <v>2201.1682703492406</v>
      </c>
      <c r="CG95" s="304">
        <f t="shared" si="52"/>
        <v>266.31187451174094</v>
      </c>
      <c r="CH95" s="304">
        <f t="shared" si="53"/>
        <v>429.18802974915019</v>
      </c>
      <c r="CI95" s="304">
        <f t="shared" si="54"/>
        <v>43.05921345356797</v>
      </c>
      <c r="CJ95" s="304">
        <f t="shared" si="55"/>
        <v>0.46803492884313003</v>
      </c>
      <c r="CK95" s="304">
        <f t="shared" si="56"/>
        <v>130.11371021839014</v>
      </c>
      <c r="CL95" s="304">
        <f t="shared" si="57"/>
        <v>1424.6983233984879</v>
      </c>
      <c r="CM95" s="304">
        <f t="shared" si="58"/>
        <v>7.0205239326469506</v>
      </c>
      <c r="CN95" s="304">
        <f t="shared" si="59"/>
        <v>141.34654851062524</v>
      </c>
      <c r="CO95" s="304">
        <f t="shared" si="60"/>
        <v>10.764803363391993</v>
      </c>
      <c r="CP95" s="304">
        <f t="shared" si="61"/>
        <v>4.6803492884312998</v>
      </c>
      <c r="CQ95" s="304">
        <f t="shared" si="62"/>
        <v>8.42462871917634</v>
      </c>
      <c r="CR95" s="304">
        <f t="shared" si="63"/>
        <v>4680.3492884313009</v>
      </c>
      <c r="CS95" s="305">
        <f t="shared" si="70"/>
        <v>0</v>
      </c>
      <c r="CV95" s="267" t="s">
        <v>168</v>
      </c>
      <c r="CW95" s="267" t="s">
        <v>168</v>
      </c>
      <c r="CX95" s="267">
        <f>INDEX($M$86:$Z$100,MATCH($CW95,$L$86:$L$100,0),MATCH(CX$87,$M$87:$Z$87,0))/INDEX(고양시_재차인원!$D$4:$H$35,MATCH("고양시",고양시_재차인원!$B$4:$B$35,0),MATCH($CX$86,고양시_재차인원!$D$4:$H$4,0))</f>
        <v>227.06120612364313</v>
      </c>
      <c r="CY95" s="267">
        <f>INDEX($M$86:$Z$100,MATCH($CW95,$L$86:$L$100,0),MATCH(CY$87,$M$87:$Z$87,0))/INDEX(고양시_재차인원!$K$4:$O$20,MATCH("경기도",고양시_재차인원!$K$4:$K$20,0),MATCH($CY$87,고양시_재차인원!$K$4:$O$4,0))</f>
        <v>1.8782107395217593E-3</v>
      </c>
      <c r="CZ95" s="267">
        <f>INDEX($M$86:$Z$100,MATCH($CW95,$L$86:$L$100,0),MATCH(CZ$87,$M$87:$Z$87,0))/INDEX(고양시_재차인원!$K$4:$O$20,MATCH("경기도",고양시_재차인원!$K$4:$K$20,0),MATCH($CZ$87,고양시_재차인원!$K$4:$O$4,0))</f>
        <v>0.52214258558704907</v>
      </c>
      <c r="DA95" s="267">
        <f>INDEX($M$86:$Z$100,MATCH($CW95,$L$86:$L$100,0),MATCH(DA$87,$M$87:$Z$87,0))/INDEX(고양시_재차인원!$D$4:$H$35,MATCH("고양시",고양시_재차인원!$B$4:$B$35,0),MATCH($CX$86,고양시_재차인원!$D$4:$H$4,0))</f>
        <v>14.580583510384907</v>
      </c>
      <c r="DB95" s="267">
        <f>INDEX($AA$86:$AN$100,MATCH($CW95,$L$86:$L$100,0),MATCH(DB$87,$AA$87:$AN$87,0))/INDEX(고양시_재차인원!$D$4:$H$35,MATCH("고양시",고양시_재차인원!$B$4:$B$35,0),MATCH($DB$86,고양시_재차인원!$D$4:$H$4,0))</f>
        <v>1305.3070988929362</v>
      </c>
      <c r="DC95" s="267">
        <f>INDEX($AA$86:$AN$100,MATCH($CW95,$L$86:$L$100,0),MATCH(DC$87,$AA$87:$AN$87,0))/INDEX(고양시_재차인원!$K$4:$O$20,MATCH("경기도",고양시_재차인원!$K$4:$K$20,0),MATCH(DC$87,고양시_재차인원!$K$4:$O$4,0))</f>
        <v>1.359299536946915E-2</v>
      </c>
      <c r="DD95" s="267">
        <f>INDEX($AA$86:$AN$100,MATCH($CW95,$L$86:$L$100,0),MATCH(DD$87,$AA$87:$AN$87,0))/INDEX(고양시_재차인원!$K$4:$O$20,MATCH("경기도",고양시_재차인원!$K$4:$K$20,0),MATCH(DD$87,고양시_재차인원!$K$4:$O$4,0))</f>
        <v>3.778852712712423</v>
      </c>
      <c r="DE95" s="267">
        <f>INDEX($AA$86:$AN$100,MATCH($CW95,$L$86:$L$100,0),MATCH(DE$87,$AA$87:$AN$87,0))/INDEX(고양시_재차인원!$D$4:$H$35,MATCH("고양시",고양시_재차인원!$B$4:$B$35,0),MATCH($DB$86,고양시_재차인원!$D$4:$H$4,0))</f>
        <v>83.81942246771564</v>
      </c>
      <c r="DF95" s="267">
        <f>INDEX($AO$86:$BB$100,MATCH($CW95,$L$86:$L$100,0),MATCH(DF$87,$AO$87:$BB$87,0))/INDEX(고양시_재차인원!$D$4:$H$35,MATCH("고양시",고양시_재차인원!$B$4:$B$35,0),MATCH($DF$86,고양시_재차인원!$D$4:$H$4,0))</f>
        <v>81.218426671937351</v>
      </c>
      <c r="DG95" s="267">
        <f>INDEX($AO$86:$BB$100,MATCH($CW95,$L$86:$L$100,0),MATCH(DG$87,$AO$87:$BB$87,0))/INDEX(고양시_재차인원!$K$4:$O$20,MATCH("경기도",고양시_재차인원!$K$4:$K$20,0),MATCH(DG$87,고양시_재차인원!$K$4:$O$4,0))</f>
        <v>7.7979649885755447E-4</v>
      </c>
      <c r="DH95" s="267">
        <f>INDEX($AO$86:$BB$100,MATCH($CW95,$L$86:$L$100,0),MATCH(DH$87,$AO$87:$BB$87,0))/INDEX(고양시_재차인원!$K$4:$O$20,MATCH("경기도",고양시_재차인원!$K$4:$K$20,0),MATCH(DH$87,고양시_재차인원!$K$4:$O$4,0))</f>
        <v>0.21678342668240008</v>
      </c>
      <c r="DI95" s="267">
        <f>INDEX($AO$86:$BB$100,MATCH($CW95,$L$86:$L$100,0),MATCH(DI$87,$AO$87:$BB$87,0))/INDEX(고양시_재차인원!$D$4:$H$35,MATCH("고양시",고양시_재차인원!$B$4:$B$35,0),MATCH($DF$86,고양시_재차인원!$D$4:$H$4,0))</f>
        <v>5.2153869561822415</v>
      </c>
      <c r="DJ95" s="267">
        <f>INDEX($BC$86:$BP$100,MATCH($CW95,$L$86:$L$100,0),MATCH(DJ$87,$BC$87:$BP$87,0))/INDEX(고양시_재차인원!$D$4:$H$35,MATCH("고양시",고양시_재차인원!$B$4:$B$35,0),MATCH($DJ$86,고양시_재차인원!$D$4:$H$4,0))</f>
        <v>0.12200407667263237</v>
      </c>
      <c r="DK95" s="267">
        <f>INDEX($BC$86:$BP$100,MATCH($CW95,$L$86:$L$100,0),MATCH(DK$87,$BC$87:$BP$87,0))/INDEX(고양시_재차인원!$K$4:$O$20,MATCH("경기도",고양시_재차인원!$K$4:$K$20,0),MATCH(DK$87,고양시_재차인원!$K$4:$O$4,0))</f>
        <v>1.2254528531024924E-6</v>
      </c>
      <c r="DL95" s="267">
        <f>INDEX($BC$86:$BP$100,MATCH($CW95,$L$86:$L$100,0),MATCH(DL$87,$BC$87:$BP$87,0))/INDEX(고양시_재차인원!$K$4:$O$20,MATCH("경기도",고양시_재차인원!$K$4:$K$20,0),MATCH(DL$87,고양시_재차인원!$K$4:$O$4,0))</f>
        <v>3.4067589316249294E-4</v>
      </c>
      <c r="DM95" s="267">
        <f>INDEX($BC$86:$BP$100,MATCH($CW95,$L$86:$L$100,0),MATCH(DM$87,$BC$87:$BP$87,0))/INDEX(고양시_재차인원!$D$4:$H$35,MATCH("고양시",고양시_재차인원!$B$4:$B$35,0),MATCH($DJ$86,고양시_재차인원!$D$4:$H$4,0))</f>
        <v>7.8344101967116678E-3</v>
      </c>
      <c r="DN95" s="267">
        <f>INDEX($BQ$86:$CD$100,MATCH($CW95,$L$86:$L$100,0),MATCH(DN$87,$BQ$87:$CD$87,0))/INDEX(고양시_재차인원!$D$4:$H$35,MATCH("고양시",고양시_재차인원!$B$4:$B$35,0),MATCH($DN$86,고양시_재차인원!$D$4:$H$4,0))</f>
        <v>0.49748399518011838</v>
      </c>
      <c r="DO95" s="267">
        <f>INDEX($BQ$86:$CD$100,MATCH($CW95,$L$86:$L$100,0),MATCH(DO$87,$BQ$87:$CD$87,0))/INDEX(고양시_재차인원!$K$4:$O$20,MATCH("경기도",고양시_재차인원!$K$4:$K$20,0),MATCH(DO$87,고양시_재차인원!$K$4:$O$4,0))</f>
        <v>4.6294885561649892E-6</v>
      </c>
      <c r="DP95" s="267">
        <f>INDEX($BQ$86:$CD$100,MATCH($CW95,$L$86:$L$100,0),MATCH(DP$87,$BQ$87:$CD$87,0))/INDEX(고양시_재차인원!$K$4:$O$20,MATCH("경기도",고양시_재차인원!$K$4:$K$20,0),MATCH(DP$87,고양시_재차인원!$K$4:$O$4,0))</f>
        <v>1.2869978186138668E-3</v>
      </c>
      <c r="DQ95" s="267">
        <f>INDEX($BQ$86:$CD$100,MATCH($CW95,$L$86:$L$100,0),MATCH(DQ$87,$BQ$87:$CD$87,0))/INDEX(고양시_재차인원!$D$4:$H$35,MATCH("고양시",고양시_재차인원!$B$4:$B$35,0),MATCH($DN$86,고양시_재차인원!$D$4:$H$4,0))</f>
        <v>3.1945602071953162E-2</v>
      </c>
      <c r="DR95" s="270">
        <f t="shared" si="71"/>
        <v>1614.2062197603695</v>
      </c>
      <c r="DS95" s="270">
        <f t="shared" si="64"/>
        <v>1.6256857549257729E-2</v>
      </c>
      <c r="DT95" s="270">
        <f t="shared" si="65"/>
        <v>4.5194063986936479</v>
      </c>
      <c r="DU95" s="270">
        <f t="shared" si="66"/>
        <v>103.65517294655146</v>
      </c>
      <c r="DW95" s="278" t="s">
        <v>168</v>
      </c>
      <c r="DX95" s="278" t="s">
        <v>168</v>
      </c>
      <c r="DY95" s="281">
        <f t="shared" si="72"/>
        <v>1717.8613927069209</v>
      </c>
      <c r="DZ95" s="281">
        <f t="shared" si="73"/>
        <v>4.5356632562429056</v>
      </c>
      <c r="EB95" s="278" t="s">
        <v>47</v>
      </c>
      <c r="EC95" s="278" t="s">
        <v>47</v>
      </c>
      <c r="ED95" s="281">
        <f t="shared" ref="ED95:ED99" si="81">DY96</f>
        <v>261.14290522042921</v>
      </c>
      <c r="EE95" s="281">
        <f t="shared" si="80"/>
        <v>0.68949467335686321</v>
      </c>
      <c r="EK95" s="420" t="s">
        <v>168</v>
      </c>
      <c r="EL95" s="420" t="s">
        <v>168</v>
      </c>
      <c r="EM95" s="420" t="s">
        <v>79</v>
      </c>
      <c r="EN95" s="420">
        <v>36231.236499999999</v>
      </c>
      <c r="EO95" s="420">
        <v>0.21506476976864181</v>
      </c>
      <c r="EP95" s="421">
        <v>849008</v>
      </c>
      <c r="EQ95" s="422">
        <f t="shared" si="75"/>
        <v>358.92209816681918</v>
      </c>
      <c r="ER95" s="422">
        <f t="shared" si="76"/>
        <v>0.94766072479433761</v>
      </c>
      <c r="ES95">
        <v>0</v>
      </c>
      <c r="EU95" s="306" t="s">
        <v>168</v>
      </c>
      <c r="EV95" s="306" t="s">
        <v>168</v>
      </c>
      <c r="EW95" s="306" t="s">
        <v>79</v>
      </c>
      <c r="EX95" s="306">
        <v>36231.236499999999</v>
      </c>
      <c r="EY95" s="306">
        <v>0.21506476976864181</v>
      </c>
      <c r="EZ95" s="307">
        <v>849008</v>
      </c>
      <c r="FA95" s="308">
        <f t="shared" si="77"/>
        <v>358.92209816681918</v>
      </c>
      <c r="FB95" s="308">
        <f t="shared" si="68"/>
        <v>0.94766072479433761</v>
      </c>
      <c r="FD95" s="101"/>
      <c r="FE95" s="101"/>
      <c r="FF95" s="101"/>
      <c r="FG95" s="101"/>
      <c r="FH95" s="101"/>
      <c r="FI95" s="374"/>
      <c r="FJ95" s="404"/>
      <c r="FK95" s="404"/>
    </row>
    <row r="96" spans="1:167" ht="25">
      <c r="A96" s="205" t="s">
        <v>47</v>
      </c>
      <c r="B96" s="205" t="s">
        <v>47</v>
      </c>
      <c r="C96" s="201">
        <f>$K37*KTDB_TripDistribution_2025!T$12</f>
        <v>82.200809849642908</v>
      </c>
      <c r="D96" s="201">
        <f>$K37*KTDB_TripDistribution_2025!U$12</f>
        <v>594.90407766346675</v>
      </c>
      <c r="E96" s="201">
        <f>$K37*KTDB_TripDistribution_2025!V$12</f>
        <v>34.128174424307993</v>
      </c>
      <c r="F96" s="201">
        <f>$K37*KTDB_TripDistribution_2025!W$12</f>
        <v>5.3632542311641586E-2</v>
      </c>
      <c r="G96" s="201">
        <f>$K37*KTDB_TripDistribution_2025!X$12</f>
        <v>0.20261182651064674</v>
      </c>
      <c r="H96" s="201">
        <f>$K37*KTDB_TripDistribution_2025!Y$12</f>
        <v>711.48930630624011</v>
      </c>
      <c r="I96" s="56"/>
      <c r="J96" s="56"/>
      <c r="K96" s="206" t="s">
        <v>47</v>
      </c>
      <c r="L96" s="206" t="s">
        <v>47</v>
      </c>
      <c r="M96" s="206">
        <f>INDEX($A$87:$H$100,MATCH($L96,$B$87:$B$100,0),MATCH($M$86,$A$87:$H$87,0))*고양시_Modal_split!C$3 * 0.01</f>
        <v>0.2301622675790001</v>
      </c>
      <c r="N96" s="206">
        <f>INDEX($A$87:$H$100,MATCH($L96,$B$87:$B$100,0),MATCH($M$86,$A$87:$H$87,0))*고양시_Modal_split!D$3 * 0.01</f>
        <v>38.659040872287058</v>
      </c>
      <c r="O96" s="206">
        <f>INDEX($A$87:$H$100,MATCH($L96,$B$87:$B$100,0),MATCH($M$86,$A$87:$H$87,0))*고양시_Modal_split!E$3 * 0.01</f>
        <v>4.6772260804446812</v>
      </c>
      <c r="P96" s="206">
        <f>INDEX($A$87:$H$100,MATCH($L96,$B$87:$B$100,0),MATCH($M$86,$A$87:$H$87,0))*고양시_Modal_split!F$3 * 0.01</f>
        <v>7.5378142632122547</v>
      </c>
      <c r="Q96" s="206">
        <f>INDEX($A$87:$H$100,MATCH($L96,$B$87:$B$100,0),MATCH($M$86,$A$87:$H$87,0))*고양시_Modal_split!G$3 * 0.01</f>
        <v>0.75624745061671472</v>
      </c>
      <c r="R96" s="206">
        <f>INDEX($A$87:$H$100,MATCH($L96,$B$87:$B$100,0),MATCH($M$86,$A$87:$H$87,0))*고양시_Modal_split!H$3 * 0.01</f>
        <v>8.2200809849642918E-3</v>
      </c>
      <c r="S96" s="206">
        <f>INDEX($A$87:$H$100,MATCH($L96,$B$87:$B$100,0),MATCH($M$86,$A$87:$H$87,0))*고양시_Modal_split!I$3 * 0.01</f>
        <v>2.2851825138200725</v>
      </c>
      <c r="T96" s="206">
        <f>INDEX($A$87:$H$100,MATCH($L96,$B$87:$B$100,0),MATCH($M$86,$A$87:$H$87,0))*고양시_Modal_split!J$3 * 0.01</f>
        <v>25.021926518231304</v>
      </c>
      <c r="U96" s="206">
        <f>INDEX($A$87:$H$100,MATCH($L96,$B$87:$B$100,0),MATCH($M$86,$A$87:$H$87,0))*고양시_Modal_split!K$3 * 0.01</f>
        <v>0.12330121477446436</v>
      </c>
      <c r="V96" s="206">
        <f>INDEX($A$87:$H$100,MATCH($L96,$B$87:$B$100,0),MATCH($M$86,$A$87:$H$87,0))*고양시_Modal_split!L$3 * 0.01</f>
        <v>2.4824644574592161</v>
      </c>
      <c r="W96" s="206">
        <f>INDEX($A$87:$H$100,MATCH($L96,$B$87:$B$100,0),MATCH($M$86,$A$87:$H$87,0))*고양시_Modal_split!M$3 * 0.01</f>
        <v>0.18906186265417868</v>
      </c>
      <c r="X96" s="206">
        <f>INDEX($A$87:$H$100,MATCH($L96,$B$87:$B$100,0),MATCH($M$86,$A$87:$H$87,0))*고양시_Modal_split!N$3 * 0.01</f>
        <v>8.2200809849642911E-2</v>
      </c>
      <c r="Y96" s="206">
        <f>INDEX($A$87:$H$100,MATCH($L96,$B$87:$B$100,0),MATCH($M$86,$A$87:$H$87,0))*고양시_Modal_split!O$3 * 0.01</f>
        <v>0.14796145772935723</v>
      </c>
      <c r="Z96" s="209">
        <f>INDEX($A$87:$H$100,MATCH($L96,$B$87:$B$100,0),MATCH($M$86,$A$87:$H$87,0))*고양시_Modal_split!P$3 * 0.01</f>
        <v>82.200809849642908</v>
      </c>
      <c r="AA96" s="207">
        <f>INDEX($A$87:$H$100,MATCH($L96,$B$87:$B$100,0),MATCH($AA$86,$A$87:$H$87,0))*고양시_Modal_split!C$3 * 0.01</f>
        <v>1.6657314174577067</v>
      </c>
      <c r="AB96" s="207">
        <f>INDEX($A$87:$H$100,MATCH($L96,$B$87:$B$100,0),MATCH($AA$86,$A$87:$H$87,0))*고양시_Modal_split!D$3 * 0.01</f>
        <v>279.78338772512842</v>
      </c>
      <c r="AC96" s="207">
        <f>INDEX($A$87:$H$100,MATCH($L96,$B$87:$B$100,0),MATCH($AA$86,$A$87:$H$87,0))*고양시_Modal_split!E$3 * 0.01</f>
        <v>33.850042019051259</v>
      </c>
      <c r="AD96" s="207">
        <f>INDEX($A$87:$H$100,MATCH($L96,$B$87:$B$100,0),MATCH($AA$86,$A$87:$H$87,0))*고양시_Modal_split!F$3 * 0.01</f>
        <v>54.552703921739905</v>
      </c>
      <c r="AE96" s="207">
        <f>INDEX($A$87:$H$100,MATCH($L96,$B$87:$B$100,0),MATCH($AA$86,$A$87:$H$87,0))*고양시_Modal_split!G$3 * 0.01</f>
        <v>5.4731175145038939</v>
      </c>
      <c r="AF96" s="207">
        <f>INDEX($A$87:$H$100,MATCH($L96,$B$87:$B$100,0),MATCH($AA$86,$A$87:$H$87,0))*고양시_Modal_split!H$3 * 0.01</f>
        <v>5.9490407766346676E-2</v>
      </c>
      <c r="AG96" s="207">
        <f>INDEX($A$87:$H$100,MATCH($L96,$B$87:$B$100,0),MATCH($AA$86,$A$87:$H$87,0))*고양시_Modal_split!I$3 * 0.01</f>
        <v>16.538333359044376</v>
      </c>
      <c r="AH96" s="207">
        <f>INDEX($A$87:$H$100,MATCH($L96,$B$87:$B$100,0),MATCH($AA$86,$A$87:$H$87,0))*고양시_Modal_split!J$3 * 0.01</f>
        <v>181.08880124075927</v>
      </c>
      <c r="AI96" s="207">
        <f>INDEX($A$87:$H$100,MATCH($L96,$B$87:$B$100,0),MATCH($AA$86,$A$87:$H$87,0))*고양시_Modal_split!K$3 * 0.01</f>
        <v>0.89235611649520008</v>
      </c>
      <c r="AJ96" s="207">
        <f>INDEX($A$87:$H$100,MATCH($L96,$B$87:$B$100,0),MATCH($AA$86,$A$87:$H$87,0))*고양시_Modal_split!L$3 * 0.01</f>
        <v>17.966103145436698</v>
      </c>
      <c r="AK96" s="207">
        <f>INDEX($A$87:$H$100,MATCH($L96,$B$87:$B$100,0),MATCH($AA$86,$A$87:$H$87,0))*고양시_Modal_split!M$3 * 0.01</f>
        <v>1.3682793786259735</v>
      </c>
      <c r="AL96" s="207">
        <f>INDEX($A$87:$H$100,MATCH($L96,$B$87:$B$100,0),MATCH($AA$86,$A$87:$H$87,0))*고양시_Modal_split!N$3 * 0.01</f>
        <v>0.59490407766346676</v>
      </c>
      <c r="AM96" s="207">
        <f>INDEX($A$87:$H$100,MATCH($L96,$B$87:$B$100,0),MATCH($AA$86,$A$87:$H$87,0))*고양시_Modal_split!O$3 * 0.01</f>
        <v>1.0708273397942401</v>
      </c>
      <c r="AN96" s="207">
        <f>INDEX($A$87:$H$100,MATCH($L96,$B$87:$B$100,0),MATCH($AA$86,$A$87:$H$87,0))*고양시_Modal_split!P$3 * 0.01</f>
        <v>594.90407766346675</v>
      </c>
      <c r="AO96" s="303">
        <f>INDEX($A$87:$H$100,MATCH($L96,$B$87:$B$100,0),MATCH($AO$86,$A$87:$H$87,0))*고양시_Modal_split!C$3 * 0.01</f>
        <v>9.5558888388062369E-2</v>
      </c>
      <c r="AP96" s="303">
        <f>INDEX($A$87:$H$100,MATCH($L96,$B$87:$B$100,0),MATCH($AO$86,$A$87:$H$87,0))*고양시_Modal_split!D$3 * 0.01</f>
        <v>16.05048043175205</v>
      </c>
      <c r="AQ96" s="303">
        <f>INDEX($A$87:$H$100,MATCH($L96,$B$87:$B$100,0),MATCH($AO$86,$A$87:$H$87,0))*고양시_Modal_split!E$3 * 0.01</f>
        <v>1.9418931247431246</v>
      </c>
      <c r="AR96" s="303">
        <f>INDEX($A$87:$H$100,MATCH($L96,$B$87:$B$100,0),MATCH($AO$86,$A$87:$H$87,0))*고양시_Modal_split!F$3 * 0.01</f>
        <v>3.1295535947090429</v>
      </c>
      <c r="AS96" s="303">
        <f>INDEX($A$87:$H$100,MATCH($L96,$B$87:$B$100,0),MATCH($AO$86,$A$87:$H$87,0))*고양시_Modal_split!G$3 * 0.01</f>
        <v>0.3139792047036335</v>
      </c>
      <c r="AT96" s="303">
        <f>INDEX($A$87:$H$100,MATCH($L96,$B$87:$B$100,0),MATCH($AO$86,$A$87:$H$87,0))*고양시_Modal_split!H$3 * 0.01</f>
        <v>3.4128174424307993E-3</v>
      </c>
      <c r="AU96" s="303">
        <f>INDEX($A$87:$H$100,MATCH($L96,$B$87:$B$100,0),MATCH($AO$86,$A$87:$H$87,0))*고양시_Modal_split!I$3 * 0.01</f>
        <v>0.94876324899576225</v>
      </c>
      <c r="AV96" s="303">
        <f>INDEX($A$87:$H$100,MATCH($L96,$B$87:$B$100,0),MATCH($AO$86,$A$87:$H$87,0))*고양시_Modal_split!J$3 * 0.01</f>
        <v>10.388616294759354</v>
      </c>
      <c r="AW96" s="303">
        <f>INDEX($A$87:$H$100,MATCH($L96,$B$87:$B$100,0),MATCH($AO$86,$A$87:$H$87,0))*고양시_Modal_split!K$3 * 0.01</f>
        <v>5.119226163646199E-2</v>
      </c>
      <c r="AX96" s="303">
        <f>INDEX($A$87:$H$100,MATCH($L96,$B$87:$B$100,0),MATCH($AO$86,$A$87:$H$87,0))*고양시_Modal_split!L$3 * 0.01</f>
        <v>1.0306708676141014</v>
      </c>
      <c r="AY96" s="303">
        <f>INDEX($A$87:$H$100,MATCH($L96,$B$87:$B$100,0),MATCH($AO$86,$A$87:$H$87,0))*고양시_Modal_split!M$3 * 0.01</f>
        <v>7.8494801175908374E-2</v>
      </c>
      <c r="AZ96" s="303">
        <f>INDEX($A$87:$H$100,MATCH($L96,$B$87:$B$100,0),MATCH($AO$86,$A$87:$H$87,0))*고양시_Modal_split!N$3 * 0.01</f>
        <v>3.4128174424307996E-2</v>
      </c>
      <c r="BA96" s="207">
        <f>INDEX($A$87:$H$100,MATCH($L96,$B$87:$B$100,0),MATCH($AO$86,$A$87:$H$87,0))*고양시_Modal_split!O$3 * 0.01</f>
        <v>6.1430713963754387E-2</v>
      </c>
      <c r="BB96" s="207">
        <f>INDEX($A$87:$H$100,MATCH($L96,$B$87:$B$100,0),MATCH($AO$86,$A$87:$H$87,0))*고양시_Modal_split!P$3 * 0.01</f>
        <v>34.128174424307993</v>
      </c>
      <c r="BC96" s="207">
        <f>INDEX($A$87:$H$100,MATCH($L96,$B$87:$B$100,0),MATCH($BC$86,$A$87:$H$87,0))*고양시_Modal_split!C$3 * 0.01</f>
        <v>1.5017111847259642E-4</v>
      </c>
      <c r="BD96" s="207">
        <f>INDEX($A$87:$H$100,MATCH($L96,$B$87:$B$100,0),MATCH($BC$86,$A$87:$H$87,0))*고양시_Modal_split!D$3 * 0.01</f>
        <v>2.5223384649165039E-2</v>
      </c>
      <c r="BE96" s="207">
        <f>INDEX($A$87:$H$100,MATCH($L96,$B$87:$B$100,0),MATCH($BC$86,$A$87:$H$87,0))*고양시_Modal_split!E$3 * 0.01</f>
        <v>3.0516916575324062E-3</v>
      </c>
      <c r="BF96" s="207">
        <f>INDEX($A$87:$H$100,MATCH($L96,$B$87:$B$100,0),MATCH($BC$86,$A$87:$H$87,0))*고양시_Modal_split!F$3 * 0.01</f>
        <v>4.9181041299775335E-3</v>
      </c>
      <c r="BG96" s="207">
        <f>INDEX($A$87:$H$100,MATCH($L96,$B$87:$B$100,0),MATCH($BC$86,$A$87:$H$87,0))*고양시_Modal_split!G$3 * 0.01</f>
        <v>4.9341938926710253E-4</v>
      </c>
      <c r="BH96" s="207">
        <f>INDEX($A$87:$H$100,MATCH($L96,$B$87:$B$100,0),MATCH($BC$86,$A$87:$H$87,0))*고양시_Modal_split!H$3 * 0.01</f>
        <v>5.3632542311641589E-6</v>
      </c>
      <c r="BI96" s="207">
        <f>INDEX($A$87:$H$100,MATCH($L96,$B$87:$B$100,0),MATCH($BC$86,$A$87:$H$87,0))*고양시_Modal_split!I$3 * 0.01</f>
        <v>1.4909846762636359E-3</v>
      </c>
      <c r="BJ96" s="207">
        <f>INDEX($A$87:$H$100,MATCH($L96,$B$87:$B$100,0),MATCH($BC$86,$A$87:$H$87,0))*고양시_Modal_split!J$3 * 0.01</f>
        <v>1.6325745879663699E-2</v>
      </c>
      <c r="BK96" s="207">
        <f>INDEX($A$87:$H$100,MATCH($L96,$B$87:$B$100,0),MATCH($BC$86,$A$87:$H$87,0))*고양시_Modal_split!K$3 * 0.01</f>
        <v>8.0448813467462376E-5</v>
      </c>
      <c r="BL96" s="207">
        <f>INDEX($A$87:$H$100,MATCH($L96,$B$87:$B$100,0),MATCH($BC$86,$A$87:$H$87,0))*고양시_Modal_split!L$3 * 0.01</f>
        <v>1.6197027778115758E-3</v>
      </c>
      <c r="BM96" s="207">
        <f>INDEX($A$87:$H$100,MATCH($L96,$B$87:$B$100,0),MATCH($BC$86,$A$87:$H$87,0))*고양시_Modal_split!M$3 * 0.01</f>
        <v>1.2335484731677563E-4</v>
      </c>
      <c r="BN96" s="207">
        <f>INDEX($A$87:$H$100,MATCH($L96,$B$87:$B$100,0),MATCH($BC$86,$A$87:$H$87,0))*고양시_Modal_split!N$3 * 0.01</f>
        <v>5.3632542311641589E-5</v>
      </c>
      <c r="BO96" s="207">
        <f>INDEX($A$87:$H$100,MATCH($L96,$B$87:$B$100,0),MATCH($BC$86,$A$87:$H$87,0))*고양시_Modal_split!O$3 * 0.01</f>
        <v>9.6538576160954859E-5</v>
      </c>
      <c r="BP96" s="207">
        <f>INDEX($A$87:$H$100,MATCH($L96,$B$87:$B$100,0),MATCH($BC$86,$A$87:$H$87,0))*고양시_Modal_split!P$3 * 0.01</f>
        <v>5.3632542311641586E-2</v>
      </c>
      <c r="BQ96" s="207">
        <f>INDEX($A$87:$H$100,MATCH($L96,$B$87:$B$100,0),MATCH($BQ$86,$A$87:$H$87,0))*고양시_Modal_split!C$3 * 0.01</f>
        <v>5.6731311422981079E-4</v>
      </c>
      <c r="BR96" s="207">
        <f>INDEX($A$87:$H$100,MATCH($L96,$B$87:$B$100,0),MATCH($BQ$86,$A$87:$H$87,0))*고양시_Modal_split!D$3 * 0.01</f>
        <v>9.5288342007957161E-2</v>
      </c>
      <c r="BS96" s="207">
        <f>INDEX($A$87:$H$100,MATCH($L96,$B$87:$B$100,0),MATCH($BQ$86,$A$87:$H$87,0))*고양시_Modal_split!E$3 * 0.01</f>
        <v>1.1528612928455799E-2</v>
      </c>
      <c r="BT96" s="207">
        <f>INDEX($A$87:$H$100,MATCH($L96,$B$87:$B$100,0),MATCH($BQ$86,$A$87:$H$87,0))*고양시_Modal_split!F$3 * 0.01</f>
        <v>1.8579504491026307E-2</v>
      </c>
      <c r="BU96" s="207">
        <f>INDEX($A$87:$H$100,MATCH($L96,$B$87:$B$100,0),MATCH($BQ$86,$A$87:$H$87,0))*고양시_Modal_split!G$3 * 0.01</f>
        <v>1.8640288038979499E-3</v>
      </c>
      <c r="BV96" s="207">
        <f>INDEX($A$87:$H$100,MATCH($L96,$B$87:$B$100,0),MATCH($BQ$86,$A$87:$H$87,0))*고양시_Modal_split!H$3 * 0.01</f>
        <v>2.0261182651064674E-5</v>
      </c>
      <c r="BW96" s="207">
        <f>INDEX($A$87:$H$100,MATCH($L96,$B$87:$B$100,0),MATCH($BQ$86,$A$87:$H$87,0))*고양시_Modal_split!I$3 * 0.01</f>
        <v>5.6326087769959787E-3</v>
      </c>
      <c r="BX96" s="207">
        <f>INDEX($A$87:$H$100,MATCH($L96,$B$87:$B$100,0),MATCH($BQ$86,$A$87:$H$87,0))*고양시_Modal_split!J$3 * 0.01</f>
        <v>6.1675039989840877E-2</v>
      </c>
      <c r="BY96" s="207">
        <f>INDEX($A$87:$H$100,MATCH($L96,$B$87:$B$100,0),MATCH($BQ$86,$A$87:$H$87,0))*고양시_Modal_split!K$3 * 0.01</f>
        <v>3.0391773976597012E-4</v>
      </c>
      <c r="BZ96" s="207">
        <f>INDEX($A$87:$H$100,MATCH($L96,$B$87:$B$100,0),MATCH($BQ$86,$A$87:$H$87,0))*고양시_Modal_split!L$3 * 0.01</f>
        <v>6.1188771606215317E-3</v>
      </c>
      <c r="CA96" s="207">
        <f>INDEX($A$87:$H$100,MATCH($L96,$B$87:$B$100,0),MATCH($BQ$86,$A$87:$H$87,0))*고양시_Modal_split!M$3 * 0.01</f>
        <v>4.6600720097448748E-4</v>
      </c>
      <c r="CB96" s="207">
        <f>INDEX($A$87:$H$100,MATCH($L96,$B$87:$B$100,0),MATCH($BQ$86,$A$87:$H$87,0))*고양시_Modal_split!N$3 * 0.01</f>
        <v>2.0261182651064676E-4</v>
      </c>
      <c r="CC96" s="207">
        <f>INDEX($A$87:$H$100,MATCH($L96,$B$87:$B$100,0),MATCH($BQ$86,$A$87:$H$87,0))*고양시_Modal_split!O$3 * 0.01</f>
        <v>3.6470128771916413E-4</v>
      </c>
      <c r="CD96" s="207">
        <f>INDEX($A$87:$H$100,MATCH($L96,$B$87:$B$100,0),MATCH($BQ$86,$A$87:$H$87,0))*고양시_Modal_split!P$3 * 0.01</f>
        <v>0.20261182651064677</v>
      </c>
      <c r="CE96" s="304">
        <f t="shared" si="69"/>
        <v>1.9921700576574717</v>
      </c>
      <c r="CF96" s="304">
        <f t="shared" si="51"/>
        <v>334.61342075582468</v>
      </c>
      <c r="CG96" s="304">
        <f t="shared" si="52"/>
        <v>40.483741528825057</v>
      </c>
      <c r="CH96" s="304">
        <f t="shared" si="53"/>
        <v>65.243569388282211</v>
      </c>
      <c r="CI96" s="304">
        <f t="shared" si="54"/>
        <v>6.5457016180174072</v>
      </c>
      <c r="CJ96" s="304">
        <f t="shared" si="55"/>
        <v>7.1148930630623997E-2</v>
      </c>
      <c r="CK96" s="304">
        <f t="shared" si="56"/>
        <v>19.779402715313466</v>
      </c>
      <c r="CL96" s="304">
        <f t="shared" si="57"/>
        <v>216.57734483961943</v>
      </c>
      <c r="CM96" s="304">
        <f t="shared" si="58"/>
        <v>1.0672339594593596</v>
      </c>
      <c r="CN96" s="304">
        <f t="shared" si="59"/>
        <v>21.486977050448449</v>
      </c>
      <c r="CO96" s="304">
        <f t="shared" si="60"/>
        <v>1.6364254045043518</v>
      </c>
      <c r="CP96" s="304">
        <f t="shared" si="61"/>
        <v>0.71148930630623997</v>
      </c>
      <c r="CQ96" s="304">
        <f t="shared" si="62"/>
        <v>1.2806807513512319</v>
      </c>
      <c r="CR96" s="304">
        <f t="shared" si="63"/>
        <v>711.48930630624</v>
      </c>
      <c r="CS96" s="305">
        <f t="shared" si="70"/>
        <v>0</v>
      </c>
      <c r="CV96" s="267" t="s">
        <v>47</v>
      </c>
      <c r="CW96" s="267" t="s">
        <v>47</v>
      </c>
      <c r="CX96" s="267">
        <f>INDEX($M$86:$Z$100,MATCH($CW96,$L$86:$L$100,0),MATCH(CX$87,$M$87:$Z$87,0))/INDEX(고양시_재차인원!$D$4:$H$35,MATCH("고양시",고양시_재차인원!$B$4:$B$35,0),MATCH($CX$86,고양시_재차인원!$D$4:$H$4,0))</f>
        <v>34.517000778827729</v>
      </c>
      <c r="CY96" s="267">
        <f>INDEX($M$86:$Z$100,MATCH($CW96,$L$86:$L$100,0),MATCH(CY$87,$M$87:$Z$87,0))/INDEX(고양시_재차인원!$K$4:$O$20,MATCH("경기도",고양시_재차인원!$K$4:$K$20,0),MATCH($CY$87,고양시_재차인원!$K$4:$O$4,0))</f>
        <v>2.8551861705329254E-4</v>
      </c>
      <c r="CZ96" s="267">
        <f>INDEX($M$86:$Z$100,MATCH($CW96,$L$86:$L$100,0),MATCH(CZ$87,$M$87:$Z$87,0))/INDEX(고양시_재차인원!$K$4:$O$20,MATCH("경기도",고양시_재차인원!$K$4:$K$20,0),MATCH($CZ$87,고양시_재차인원!$K$4:$O$4,0))</f>
        <v>7.93741755408153E-2</v>
      </c>
      <c r="DA96" s="267">
        <f>INDEX($M$86:$Z$100,MATCH($CW96,$L$86:$L$100,0),MATCH(DA$87,$M$87:$Z$87,0))/INDEX(고양시_재차인원!$D$4:$H$35,MATCH("고양시",고양시_재차인원!$B$4:$B$35,0),MATCH($CX$86,고양시_재차인원!$D$4:$H$4,0))</f>
        <v>2.2164861227314425</v>
      </c>
      <c r="DB96" s="267">
        <f>INDEX($AA$86:$AN$100,MATCH($CW96,$L$86:$L$100,0),MATCH(DB$87,$AA$87:$AN$87,0))/INDEX(고양시_재차인원!$D$4:$H$35,MATCH("고양시",고양시_재차인원!$B$4:$B$35,0),MATCH($DB$86,고양시_재차인원!$D$4:$H$4,0))</f>
        <v>198.42793455682869</v>
      </c>
      <c r="DC96" s="267">
        <f>INDEX($AA$86:$AN$100,MATCH($CW96,$L$86:$L$100,0),MATCH(DC$87,$AA$87:$AN$87,0))/INDEX(고양시_재차인원!$K$4:$O$20,MATCH("경기도",고양시_재차인원!$K$4:$K$20,0),MATCH(DC$87,고양시_재차인원!$K$4:$O$4,0))</f>
        <v>2.0663566434993637E-3</v>
      </c>
      <c r="DD96" s="267">
        <f>INDEX($AA$86:$AN$100,MATCH($CW96,$L$86:$L$100,0),MATCH(DD$87,$AA$87:$AN$87,0))/INDEX(고양시_재차인원!$K$4:$O$20,MATCH("경기도",고양시_재차인원!$K$4:$K$20,0),MATCH(DD$87,고양시_재차인원!$K$4:$O$4,0))</f>
        <v>0.57444714689282306</v>
      </c>
      <c r="DE96" s="267">
        <f>INDEX($AA$86:$AN$100,MATCH($CW96,$L$86:$L$100,0),MATCH(DE$87,$AA$87:$AN$87,0))/INDEX(고양시_재차인원!$D$4:$H$35,MATCH("고양시",고양시_재차인원!$B$4:$B$35,0),MATCH($DB$86,고양시_재차인원!$D$4:$H$4,0))</f>
        <v>12.741917124423191</v>
      </c>
      <c r="DF96" s="267">
        <f>INDEX($AO$86:$BB$100,MATCH($CW96,$L$86:$L$100,0),MATCH(DF$87,$AO$87:$BB$87,0))/INDEX(고양시_재차인원!$D$4:$H$35,MATCH("고양시",고양시_재차인원!$B$4:$B$35,0),MATCH($DF$86,고양시_재차인원!$D$4:$H$4,0))</f>
        <v>12.346523409040037</v>
      </c>
      <c r="DG96" s="267">
        <f>INDEX($AO$86:$BB$100,MATCH($CW96,$L$86:$L$100,0),MATCH(DG$87,$AO$87:$BB$87,0))/INDEX(고양시_재차인원!$K$4:$O$20,MATCH("경기도",고양시_재차인원!$K$4:$K$20,0),MATCH(DG$87,고양시_재차인원!$K$4:$O$4,0))</f>
        <v>1.1854176597536643E-4</v>
      </c>
      <c r="DH96" s="267">
        <f>INDEX($AO$86:$BB$100,MATCH($CW96,$L$86:$L$100,0),MATCH(DH$87,$AO$87:$BB$87,0))/INDEX(고양시_재차인원!$K$4:$O$20,MATCH("경기도",고양시_재차인원!$K$4:$K$20,0),MATCH(DH$87,고양시_재차인원!$K$4:$O$4,0))</f>
        <v>3.2954610941151867E-2</v>
      </c>
      <c r="DI96" s="267">
        <f>INDEX($AO$86:$BB$100,MATCH($CW96,$L$86:$L$100,0),MATCH(DI$87,$AO$87:$BB$87,0))/INDEX(고양시_재차인원!$D$4:$H$35,MATCH("고양시",고양시_재차인원!$B$4:$B$35,0),MATCH($DF$86,고양시_재차인원!$D$4:$H$4,0))</f>
        <v>0.79282374431853953</v>
      </c>
      <c r="DJ96" s="267">
        <f>INDEX($BC$86:$BP$100,MATCH($CW96,$L$86:$L$100,0),MATCH(DJ$87,$BC$87:$BP$87,0))/INDEX(고양시_재차인원!$D$4:$H$35,MATCH("고양시",고양시_재차인원!$B$4:$B$35,0),MATCH($DJ$86,고양시_재차인원!$D$4:$H$4,0))</f>
        <v>1.8546606359680175E-2</v>
      </c>
      <c r="DK96" s="267">
        <f>INDEX($BC$86:$BP$100,MATCH($CW96,$L$86:$L$100,0),MATCH(DK$87,$BC$87:$BP$87,0))/INDEX(고양시_재차인원!$K$4:$O$20,MATCH("경기도",고양시_재차인원!$K$4:$K$20,0),MATCH(DK$87,고양시_재차인원!$K$4:$O$4,0))</f>
        <v>1.8628878885599718E-7</v>
      </c>
      <c r="DL96" s="267">
        <f>INDEX($BC$86:$BP$100,MATCH($CW96,$L$86:$L$100,0),MATCH(DL$87,$BC$87:$BP$87,0))/INDEX(고양시_재차인원!$K$4:$O$20,MATCH("경기도",고양시_재차인원!$K$4:$K$20,0),MATCH(DL$87,고양시_재차인원!$K$4:$O$4,0))</f>
        <v>5.1788283301967212E-5</v>
      </c>
      <c r="DM96" s="267">
        <f>INDEX($BC$86:$BP$100,MATCH($CW96,$L$86:$L$100,0),MATCH(DM$87,$BC$87:$BP$87,0))/INDEX(고양시_재차인원!$D$4:$H$35,MATCH("고양시",고양시_재차인원!$B$4:$B$35,0),MATCH($DJ$86,고양시_재차인원!$D$4:$H$4,0))</f>
        <v>1.1909579248614527E-3</v>
      </c>
      <c r="DN96" s="267">
        <f>INDEX($BQ$86:$CD$100,MATCH($CW96,$L$86:$L$100,0),MATCH(DN$87,$BQ$87:$CD$87,0))/INDEX(고양시_재차인원!$D$4:$H$35,MATCH("고양시",고양시_재차인원!$B$4:$B$35,0),MATCH($DN$86,고양시_재차인원!$D$4:$H$4,0))</f>
        <v>7.5625668260283455E-2</v>
      </c>
      <c r="DO96" s="267">
        <f>INDEX($BQ$86:$CD$100,MATCH($CW96,$L$86:$L$100,0),MATCH(DO$87,$BQ$87:$CD$87,0))/INDEX(고양시_재차인원!$K$4:$O$20,MATCH("경기도",고양시_재차인원!$K$4:$K$20,0),MATCH(DO$87,고양시_재차인원!$K$4:$O$4,0))</f>
        <v>7.0375764678932526E-7</v>
      </c>
      <c r="DP96" s="267">
        <f>INDEX($BQ$86:$CD$100,MATCH($CW96,$L$86:$L$100,0),MATCH(DP$87,$BQ$87:$CD$87,0))/INDEX(고양시_재차인원!$K$4:$O$20,MATCH("경기도",고양시_재차인원!$K$4:$K$20,0),MATCH(DP$87,고양시_재차인원!$K$4:$O$4,0))</f>
        <v>1.956446258074324E-4</v>
      </c>
      <c r="DQ96" s="267">
        <f>INDEX($BQ$86:$CD$100,MATCH($CW96,$L$86:$L$100,0),MATCH(DQ$87,$BQ$87:$CD$87,0))/INDEX(고양시_재차인원!$D$4:$H$35,MATCH("고양시",고양시_재차인원!$B$4:$B$35,0),MATCH($DN$86,고양시_재차인원!$D$4:$H$4,0))</f>
        <v>4.8562517147789936E-3</v>
      </c>
      <c r="DR96" s="270">
        <f t="shared" si="71"/>
        <v>245.38563101931641</v>
      </c>
      <c r="DS96" s="270">
        <f t="shared" si="64"/>
        <v>2.4713070729636675E-3</v>
      </c>
      <c r="DT96" s="270">
        <f t="shared" si="65"/>
        <v>0.68702336628389959</v>
      </c>
      <c r="DU96" s="270">
        <f t="shared" si="66"/>
        <v>15.757274201112812</v>
      </c>
      <c r="DW96" s="278" t="s">
        <v>47</v>
      </c>
      <c r="DX96" s="278" t="s">
        <v>47</v>
      </c>
      <c r="DY96" s="281">
        <f t="shared" si="72"/>
        <v>261.14290522042921</v>
      </c>
      <c r="DZ96" s="281">
        <f t="shared" si="73"/>
        <v>0.68949467335686321</v>
      </c>
      <c r="EB96" s="278" t="s">
        <v>169</v>
      </c>
      <c r="EC96" s="278" t="s">
        <v>169</v>
      </c>
      <c r="ED96" s="281">
        <f t="shared" si="81"/>
        <v>418.97148230361051</v>
      </c>
      <c r="EE96" s="281">
        <f t="shared" si="80"/>
        <v>1.1062088977409823</v>
      </c>
      <c r="EK96" s="420" t="s">
        <v>168</v>
      </c>
      <c r="EL96" s="420" t="s">
        <v>168</v>
      </c>
      <c r="EM96" s="420" t="s">
        <v>223</v>
      </c>
      <c r="EN96" s="420">
        <v>69072.016600000003</v>
      </c>
      <c r="EO96" s="420">
        <v>0.41000415063214324</v>
      </c>
      <c r="EP96" s="421">
        <v>849009</v>
      </c>
      <c r="EQ96" s="422">
        <f t="shared" si="75"/>
        <v>684.25688763576602</v>
      </c>
      <c r="ER96" s="422">
        <f t="shared" si="76"/>
        <v>1.8066409992428087</v>
      </c>
      <c r="ES96">
        <v>0</v>
      </c>
      <c r="EU96" s="306" t="s">
        <v>168</v>
      </c>
      <c r="EV96" s="306" t="s">
        <v>168</v>
      </c>
      <c r="EW96" s="306" t="s">
        <v>223</v>
      </c>
      <c r="EX96" s="306">
        <v>69072.016600000003</v>
      </c>
      <c r="EY96" s="306">
        <v>0.41000415063214324</v>
      </c>
      <c r="EZ96" s="307">
        <v>849009</v>
      </c>
      <c r="FA96" s="308">
        <f t="shared" si="77"/>
        <v>684.25688763576602</v>
      </c>
      <c r="FB96" s="308">
        <f t="shared" si="68"/>
        <v>1.8066409992428087</v>
      </c>
      <c r="FD96" s="101"/>
      <c r="FE96" s="101"/>
      <c r="FF96" s="101"/>
      <c r="FG96" s="101"/>
      <c r="FH96" s="101"/>
      <c r="FI96" s="374"/>
      <c r="FJ96" s="404"/>
      <c r="FK96" s="404"/>
    </row>
    <row r="97" spans="1:167" ht="25">
      <c r="A97" s="205" t="s">
        <v>169</v>
      </c>
      <c r="B97" s="205" t="s">
        <v>169</v>
      </c>
      <c r="C97" s="201">
        <f>$K38*KTDB_TripDistribution_2025!T$12</f>
        <v>131.88102935514056</v>
      </c>
      <c r="D97" s="201">
        <f>$K38*KTDB_TripDistribution_2025!U$12</f>
        <v>954.44998988862528</v>
      </c>
      <c r="E97" s="201">
        <f>$K38*KTDB_TripDistribution_2025!V$12</f>
        <v>54.754433457799706</v>
      </c>
      <c r="F97" s="201">
        <f>$K38*KTDB_TripDistribution_2025!W$12</f>
        <v>8.6046778613619077E-2</v>
      </c>
      <c r="G97" s="201">
        <f>$K38*KTDB_TripDistribution_2025!X$12</f>
        <v>0.32506560809589546</v>
      </c>
      <c r="H97" s="201">
        <f>$K38*KTDB_TripDistribution_2025!Y$12</f>
        <v>1141.4965650882752</v>
      </c>
      <c r="I97" s="56"/>
      <c r="J97" s="56"/>
      <c r="K97" s="206" t="s">
        <v>169</v>
      </c>
      <c r="L97" s="206" t="s">
        <v>169</v>
      </c>
      <c r="M97" s="206">
        <f>INDEX($A$87:$H$100,MATCH($L97,$B$87:$B$100,0),MATCH($M$86,$A$87:$H$87,0))*고양시_Modal_split!C$3 * 0.01</f>
        <v>0.36926688219439352</v>
      </c>
      <c r="N97" s="206">
        <f>INDEX($A$87:$H$100,MATCH($L97,$B$87:$B$100,0),MATCH($M$86,$A$87:$H$87,0))*고양시_Modal_split!D$3 * 0.01</f>
        <v>62.023648105722607</v>
      </c>
      <c r="O97" s="206">
        <f>INDEX($A$87:$H$100,MATCH($L97,$B$87:$B$100,0),MATCH($M$86,$A$87:$H$87,0))*고양시_Modal_split!E$3 * 0.01</f>
        <v>7.5040305703074965</v>
      </c>
      <c r="P97" s="206">
        <f>INDEX($A$87:$H$100,MATCH($L97,$B$87:$B$100,0),MATCH($M$86,$A$87:$H$87,0))*고양시_Modal_split!F$3 * 0.01</f>
        <v>12.093490391866389</v>
      </c>
      <c r="Q97" s="206">
        <f>INDEX($A$87:$H$100,MATCH($L97,$B$87:$B$100,0),MATCH($M$86,$A$87:$H$87,0))*고양시_Modal_split!G$3 * 0.01</f>
        <v>1.2133054700672932</v>
      </c>
      <c r="R97" s="206">
        <f>INDEX($A$87:$H$100,MATCH($L97,$B$87:$B$100,0),MATCH($M$86,$A$87:$H$87,0))*고양시_Modal_split!H$3 * 0.01</f>
        <v>1.3188102935514057E-2</v>
      </c>
      <c r="S97" s="206">
        <f>INDEX($A$87:$H$100,MATCH($L97,$B$87:$B$100,0),MATCH($M$86,$A$87:$H$87,0))*고양시_Modal_split!I$3 * 0.01</f>
        <v>3.6662926160729077</v>
      </c>
      <c r="T97" s="206">
        <f>INDEX($A$87:$H$100,MATCH($L97,$B$87:$B$100,0),MATCH($M$86,$A$87:$H$87,0))*고양시_Modal_split!J$3 * 0.01</f>
        <v>40.144585335704789</v>
      </c>
      <c r="U97" s="206">
        <f>INDEX($A$87:$H$100,MATCH($L97,$B$87:$B$100,0),MATCH($M$86,$A$87:$H$87,0))*고양시_Modal_split!K$3 * 0.01</f>
        <v>0.19782154403271082</v>
      </c>
      <c r="V97" s="206">
        <f>INDEX($A$87:$H$100,MATCH($L97,$B$87:$B$100,0),MATCH($M$86,$A$87:$H$87,0))*고양시_Modal_split!L$3 * 0.01</f>
        <v>3.982807086525245</v>
      </c>
      <c r="W97" s="206">
        <f>INDEX($A$87:$H$100,MATCH($L97,$B$87:$B$100,0),MATCH($M$86,$A$87:$H$87,0))*고양시_Modal_split!M$3 * 0.01</f>
        <v>0.30332636751682329</v>
      </c>
      <c r="X97" s="206">
        <f>INDEX($A$87:$H$100,MATCH($L97,$B$87:$B$100,0),MATCH($M$86,$A$87:$H$87,0))*고양시_Modal_split!N$3 * 0.01</f>
        <v>0.13188102935514057</v>
      </c>
      <c r="Y97" s="206">
        <f>INDEX($A$87:$H$100,MATCH($L97,$B$87:$B$100,0),MATCH($M$86,$A$87:$H$87,0))*고양시_Modal_split!O$3 * 0.01</f>
        <v>0.23738585283925301</v>
      </c>
      <c r="Z97" s="209">
        <f>INDEX($A$87:$H$100,MATCH($L97,$B$87:$B$100,0),MATCH($M$86,$A$87:$H$87,0))*고양시_Modal_split!P$3 * 0.01</f>
        <v>131.88102935514056</v>
      </c>
      <c r="AA97" s="207">
        <f>INDEX($A$87:$H$100,MATCH($L97,$B$87:$B$100,0),MATCH($AA$86,$A$87:$H$87,0))*고양시_Modal_split!C$3 * 0.01</f>
        <v>2.6724599716881507</v>
      </c>
      <c r="AB97" s="207">
        <f>INDEX($A$87:$H$100,MATCH($L97,$B$87:$B$100,0),MATCH($AA$86,$A$87:$H$87,0))*고양시_Modal_split!D$3 * 0.01</f>
        <v>448.8778302446205</v>
      </c>
      <c r="AC97" s="207">
        <f>INDEX($A$87:$H$100,MATCH($L97,$B$87:$B$100,0),MATCH($AA$86,$A$87:$H$87,0))*고양시_Modal_split!E$3 * 0.01</f>
        <v>54.308204424662776</v>
      </c>
      <c r="AD97" s="207">
        <f>INDEX($A$87:$H$100,MATCH($L97,$B$87:$B$100,0),MATCH($AA$86,$A$87:$H$87,0))*고양시_Modal_split!F$3 * 0.01</f>
        <v>87.523064072786951</v>
      </c>
      <c r="AE97" s="207">
        <f>INDEX($A$87:$H$100,MATCH($L97,$B$87:$B$100,0),MATCH($AA$86,$A$87:$H$87,0))*고양시_Modal_split!G$3 * 0.01</f>
        <v>8.7809399069753518</v>
      </c>
      <c r="AF97" s="207">
        <f>INDEX($A$87:$H$100,MATCH($L97,$B$87:$B$100,0),MATCH($AA$86,$A$87:$H$87,0))*고양시_Modal_split!H$3 * 0.01</f>
        <v>9.5444998988862523E-2</v>
      </c>
      <c r="AG97" s="207">
        <f>INDEX($A$87:$H$100,MATCH($L97,$B$87:$B$100,0),MATCH($AA$86,$A$87:$H$87,0))*고양시_Modal_split!I$3 * 0.01</f>
        <v>26.533709718903783</v>
      </c>
      <c r="AH97" s="207">
        <f>INDEX($A$87:$H$100,MATCH($L97,$B$87:$B$100,0),MATCH($AA$86,$A$87:$H$87,0))*고양시_Modal_split!J$3 * 0.01</f>
        <v>290.53457692209753</v>
      </c>
      <c r="AI97" s="207">
        <f>INDEX($A$87:$H$100,MATCH($L97,$B$87:$B$100,0),MATCH($AA$86,$A$87:$H$87,0))*고양시_Modal_split!K$3 * 0.01</f>
        <v>1.431674984832938</v>
      </c>
      <c r="AJ97" s="207">
        <f>INDEX($A$87:$H$100,MATCH($L97,$B$87:$B$100,0),MATCH($AA$86,$A$87:$H$87,0))*고양시_Modal_split!L$3 * 0.01</f>
        <v>28.824389694636483</v>
      </c>
      <c r="AK97" s="207">
        <f>INDEX($A$87:$H$100,MATCH($L97,$B$87:$B$100,0),MATCH($AA$86,$A$87:$H$87,0))*고양시_Modal_split!M$3 * 0.01</f>
        <v>2.1952349767438379</v>
      </c>
      <c r="AL97" s="207">
        <f>INDEX($A$87:$H$100,MATCH($L97,$B$87:$B$100,0),MATCH($AA$86,$A$87:$H$87,0))*고양시_Modal_split!N$3 * 0.01</f>
        <v>0.95444998988862539</v>
      </c>
      <c r="AM97" s="207">
        <f>INDEX($A$87:$H$100,MATCH($L97,$B$87:$B$100,0),MATCH($AA$86,$A$87:$H$87,0))*고양시_Modal_split!O$3 * 0.01</f>
        <v>1.7180099817995256</v>
      </c>
      <c r="AN97" s="207">
        <f>INDEX($A$87:$H$100,MATCH($L97,$B$87:$B$100,0),MATCH($AA$86,$A$87:$H$87,0))*고양시_Modal_split!P$3 * 0.01</f>
        <v>954.44998988862528</v>
      </c>
      <c r="AO97" s="303">
        <f>INDEX($A$87:$H$100,MATCH($L97,$B$87:$B$100,0),MATCH($AO$86,$A$87:$H$87,0))*고양시_Modal_split!C$3 * 0.01</f>
        <v>0.15331241368183915</v>
      </c>
      <c r="AP97" s="303">
        <f>INDEX($A$87:$H$100,MATCH($L97,$B$87:$B$100,0),MATCH($AO$86,$A$87:$H$87,0))*고양시_Modal_split!D$3 * 0.01</f>
        <v>25.751010055203203</v>
      </c>
      <c r="AQ97" s="303">
        <f>INDEX($A$87:$H$100,MATCH($L97,$B$87:$B$100,0),MATCH($AO$86,$A$87:$H$87,0))*고양시_Modal_split!E$3 * 0.01</f>
        <v>3.115527263748803</v>
      </c>
      <c r="AR97" s="303">
        <f>INDEX($A$87:$H$100,MATCH($L97,$B$87:$B$100,0),MATCH($AO$86,$A$87:$H$87,0))*고양시_Modal_split!F$3 * 0.01</f>
        <v>5.0209815480802336</v>
      </c>
      <c r="AS97" s="303">
        <f>INDEX($A$87:$H$100,MATCH($L97,$B$87:$B$100,0),MATCH($AO$86,$A$87:$H$87,0))*고양시_Modal_split!G$3 * 0.01</f>
        <v>0.50374078781175724</v>
      </c>
      <c r="AT97" s="303">
        <f>INDEX($A$87:$H$100,MATCH($L97,$B$87:$B$100,0),MATCH($AO$86,$A$87:$H$87,0))*고양시_Modal_split!H$3 * 0.01</f>
        <v>5.4754433457799715E-3</v>
      </c>
      <c r="AU97" s="303">
        <f>INDEX($A$87:$H$100,MATCH($L97,$B$87:$B$100,0),MATCH($AO$86,$A$87:$H$87,0))*고양시_Modal_split!I$3 * 0.01</f>
        <v>1.5221732501268317</v>
      </c>
      <c r="AV97" s="303">
        <f>INDEX($A$87:$H$100,MATCH($L97,$B$87:$B$100,0),MATCH($AO$86,$A$87:$H$87,0))*고양시_Modal_split!J$3 * 0.01</f>
        <v>16.667249544554231</v>
      </c>
      <c r="AW97" s="303">
        <f>INDEX($A$87:$H$100,MATCH($L97,$B$87:$B$100,0),MATCH($AO$86,$A$87:$H$87,0))*고양시_Modal_split!K$3 * 0.01</f>
        <v>8.2131650186699559E-2</v>
      </c>
      <c r="AX97" s="303">
        <f>INDEX($A$87:$H$100,MATCH($L97,$B$87:$B$100,0),MATCH($AO$86,$A$87:$H$87,0))*고양시_Modal_split!L$3 * 0.01</f>
        <v>1.6535838904255511</v>
      </c>
      <c r="AY97" s="303">
        <f>INDEX($A$87:$H$100,MATCH($L97,$B$87:$B$100,0),MATCH($AO$86,$A$87:$H$87,0))*고양시_Modal_split!M$3 * 0.01</f>
        <v>0.12593519695293931</v>
      </c>
      <c r="AZ97" s="303">
        <f>INDEX($A$87:$H$100,MATCH($L97,$B$87:$B$100,0),MATCH($AO$86,$A$87:$H$87,0))*고양시_Modal_split!N$3 * 0.01</f>
        <v>5.4754433457799713E-2</v>
      </c>
      <c r="BA97" s="207">
        <f>INDEX($A$87:$H$100,MATCH($L97,$B$87:$B$100,0),MATCH($AO$86,$A$87:$H$87,0))*고양시_Modal_split!O$3 * 0.01</f>
        <v>9.8557980224039471E-2</v>
      </c>
      <c r="BB97" s="207">
        <f>INDEX($A$87:$H$100,MATCH($L97,$B$87:$B$100,0),MATCH($AO$86,$A$87:$H$87,0))*고양시_Modal_split!P$3 * 0.01</f>
        <v>54.754433457799706</v>
      </c>
      <c r="BC97" s="207">
        <f>INDEX($A$87:$H$100,MATCH($L97,$B$87:$B$100,0),MATCH($BC$86,$A$87:$H$87,0))*고양시_Modal_split!C$3 * 0.01</f>
        <v>2.4093098011813339E-4</v>
      </c>
      <c r="BD97" s="207">
        <f>INDEX($A$87:$H$100,MATCH($L97,$B$87:$B$100,0),MATCH($BC$86,$A$87:$H$87,0))*고양시_Modal_split!D$3 * 0.01</f>
        <v>4.0467799981985055E-2</v>
      </c>
      <c r="BE97" s="207">
        <f>INDEX($A$87:$H$100,MATCH($L97,$B$87:$B$100,0),MATCH($BC$86,$A$87:$H$87,0))*고양시_Modal_split!E$3 * 0.01</f>
        <v>4.896061703114925E-3</v>
      </c>
      <c r="BF97" s="207">
        <f>INDEX($A$87:$H$100,MATCH($L97,$B$87:$B$100,0),MATCH($BC$86,$A$87:$H$87,0))*고양시_Modal_split!F$3 * 0.01</f>
        <v>7.89048959886887E-3</v>
      </c>
      <c r="BG97" s="207">
        <f>INDEX($A$87:$H$100,MATCH($L97,$B$87:$B$100,0),MATCH($BC$86,$A$87:$H$87,0))*고양시_Modal_split!G$3 * 0.01</f>
        <v>7.9163036324529548E-4</v>
      </c>
      <c r="BH97" s="207">
        <f>INDEX($A$87:$H$100,MATCH($L97,$B$87:$B$100,0),MATCH($BC$86,$A$87:$H$87,0))*고양시_Modal_split!H$3 * 0.01</f>
        <v>8.6046778613619084E-6</v>
      </c>
      <c r="BI97" s="207">
        <f>INDEX($A$87:$H$100,MATCH($L97,$B$87:$B$100,0),MATCH($BC$86,$A$87:$H$87,0))*고양시_Modal_split!I$3 * 0.01</f>
        <v>2.39210044545861E-3</v>
      </c>
      <c r="BJ97" s="207">
        <f>INDEX($A$87:$H$100,MATCH($L97,$B$87:$B$100,0),MATCH($BC$86,$A$87:$H$87,0))*고양시_Modal_split!J$3 * 0.01</f>
        <v>2.619263940998565E-2</v>
      </c>
      <c r="BK97" s="207">
        <f>INDEX($A$87:$H$100,MATCH($L97,$B$87:$B$100,0),MATCH($BC$86,$A$87:$H$87,0))*고양시_Modal_split!K$3 * 0.01</f>
        <v>1.290701679204286E-4</v>
      </c>
      <c r="BL97" s="207">
        <f>INDEX($A$87:$H$100,MATCH($L97,$B$87:$B$100,0),MATCH($BC$86,$A$87:$H$87,0))*고양시_Modal_split!L$3 * 0.01</f>
        <v>2.5986127141312959E-3</v>
      </c>
      <c r="BM97" s="207">
        <f>INDEX($A$87:$H$100,MATCH($L97,$B$87:$B$100,0),MATCH($BC$86,$A$87:$H$87,0))*고양시_Modal_split!M$3 * 0.01</f>
        <v>1.9790759081132387E-4</v>
      </c>
      <c r="BN97" s="207">
        <f>INDEX($A$87:$H$100,MATCH($L97,$B$87:$B$100,0),MATCH($BC$86,$A$87:$H$87,0))*고양시_Modal_split!N$3 * 0.01</f>
        <v>8.6046778613619091E-5</v>
      </c>
      <c r="BO97" s="207">
        <f>INDEX($A$87:$H$100,MATCH($L97,$B$87:$B$100,0),MATCH($BC$86,$A$87:$H$87,0))*고양시_Modal_split!O$3 * 0.01</f>
        <v>1.5488420150451434E-4</v>
      </c>
      <c r="BP97" s="207">
        <f>INDEX($A$87:$H$100,MATCH($L97,$B$87:$B$100,0),MATCH($BC$86,$A$87:$H$87,0))*고양시_Modal_split!P$3 * 0.01</f>
        <v>8.6046778613619077E-2</v>
      </c>
      <c r="BQ97" s="207">
        <f>INDEX($A$87:$H$100,MATCH($L97,$B$87:$B$100,0),MATCH($BQ$86,$A$87:$H$87,0))*고양시_Modal_split!C$3 * 0.01</f>
        <v>9.1018370266850721E-4</v>
      </c>
      <c r="BR97" s="207">
        <f>INDEX($A$87:$H$100,MATCH($L97,$B$87:$B$100,0),MATCH($BQ$86,$A$87:$H$87,0))*고양시_Modal_split!D$3 * 0.01</f>
        <v>0.15287835548749965</v>
      </c>
      <c r="BS97" s="207">
        <f>INDEX($A$87:$H$100,MATCH($L97,$B$87:$B$100,0),MATCH($BQ$86,$A$87:$H$87,0))*고양시_Modal_split!E$3 * 0.01</f>
        <v>1.8496233100656449E-2</v>
      </c>
      <c r="BT97" s="207">
        <f>INDEX($A$87:$H$100,MATCH($L97,$B$87:$B$100,0),MATCH($BQ$86,$A$87:$H$87,0))*고양시_Modal_split!F$3 * 0.01</f>
        <v>2.9808516262393614E-2</v>
      </c>
      <c r="BU97" s="207">
        <f>INDEX($A$87:$H$100,MATCH($L97,$B$87:$B$100,0),MATCH($BQ$86,$A$87:$H$87,0))*고양시_Modal_split!G$3 * 0.01</f>
        <v>2.9906035944822378E-3</v>
      </c>
      <c r="BV97" s="207">
        <f>INDEX($A$87:$H$100,MATCH($L97,$B$87:$B$100,0),MATCH($BQ$86,$A$87:$H$87,0))*고양시_Modal_split!H$3 * 0.01</f>
        <v>3.2506560809589546E-5</v>
      </c>
      <c r="BW97" s="207">
        <f>INDEX($A$87:$H$100,MATCH($L97,$B$87:$B$100,0),MATCH($BQ$86,$A$87:$H$87,0))*고양시_Modal_split!I$3 * 0.01</f>
        <v>9.0368239050658931E-3</v>
      </c>
      <c r="BX97" s="207">
        <f>INDEX($A$87:$H$100,MATCH($L97,$B$87:$B$100,0),MATCH($BQ$86,$A$87:$H$87,0))*고양시_Modal_split!J$3 * 0.01</f>
        <v>9.8949971104390591E-2</v>
      </c>
      <c r="BY97" s="207">
        <f>INDEX($A$87:$H$100,MATCH($L97,$B$87:$B$100,0),MATCH($BQ$86,$A$87:$H$87,0))*고양시_Modal_split!K$3 * 0.01</f>
        <v>4.875984121438432E-4</v>
      </c>
      <c r="BZ97" s="207">
        <f>INDEX($A$87:$H$100,MATCH($L97,$B$87:$B$100,0),MATCH($BQ$86,$A$87:$H$87,0))*고양시_Modal_split!L$3 * 0.01</f>
        <v>9.8169813644960434E-3</v>
      </c>
      <c r="CA97" s="207">
        <f>INDEX($A$87:$H$100,MATCH($L97,$B$87:$B$100,0),MATCH($BQ$86,$A$87:$H$87,0))*고양시_Modal_split!M$3 * 0.01</f>
        <v>7.4765089862055946E-4</v>
      </c>
      <c r="CB97" s="207">
        <f>INDEX($A$87:$H$100,MATCH($L97,$B$87:$B$100,0),MATCH($BQ$86,$A$87:$H$87,0))*고양시_Modal_split!N$3 * 0.01</f>
        <v>3.2506560809589545E-4</v>
      </c>
      <c r="CC97" s="207">
        <f>INDEX($A$87:$H$100,MATCH($L97,$B$87:$B$100,0),MATCH($BQ$86,$A$87:$H$87,0))*고양시_Modal_split!O$3 * 0.01</f>
        <v>5.8511809457261182E-4</v>
      </c>
      <c r="CD97" s="207">
        <f>INDEX($A$87:$H$100,MATCH($L97,$B$87:$B$100,0),MATCH($BQ$86,$A$87:$H$87,0))*고양시_Modal_split!P$3 * 0.01</f>
        <v>0.32506560809589546</v>
      </c>
      <c r="CE97" s="304">
        <f t="shared" si="69"/>
        <v>3.19619038224717</v>
      </c>
      <c r="CF97" s="304">
        <f t="shared" si="51"/>
        <v>536.84583456101575</v>
      </c>
      <c r="CG97" s="304">
        <f t="shared" si="52"/>
        <v>64.951154553522869</v>
      </c>
      <c r="CH97" s="304">
        <f t="shared" si="53"/>
        <v>104.67523501859483</v>
      </c>
      <c r="CI97" s="304">
        <f t="shared" si="54"/>
        <v>10.50176839881213</v>
      </c>
      <c r="CJ97" s="304">
        <f t="shared" si="55"/>
        <v>0.11414965650882751</v>
      </c>
      <c r="CK97" s="304">
        <f t="shared" si="56"/>
        <v>31.733604509454047</v>
      </c>
      <c r="CL97" s="304">
        <f t="shared" si="57"/>
        <v>347.47155441287094</v>
      </c>
      <c r="CM97" s="304">
        <f t="shared" si="58"/>
        <v>1.7122448476324126</v>
      </c>
      <c r="CN97" s="304">
        <f t="shared" si="59"/>
        <v>34.473196265665905</v>
      </c>
      <c r="CO97" s="304">
        <f t="shared" si="60"/>
        <v>2.6254420997030326</v>
      </c>
      <c r="CP97" s="304">
        <f t="shared" si="61"/>
        <v>1.1414965650882754</v>
      </c>
      <c r="CQ97" s="304">
        <f t="shared" si="62"/>
        <v>2.0546938171588951</v>
      </c>
      <c r="CR97" s="304">
        <f t="shared" si="63"/>
        <v>1141.496565088275</v>
      </c>
      <c r="CS97" s="305">
        <f t="shared" si="70"/>
        <v>0</v>
      </c>
      <c r="CV97" s="267" t="s">
        <v>169</v>
      </c>
      <c r="CW97" s="267" t="s">
        <v>169</v>
      </c>
      <c r="CX97" s="267">
        <f>INDEX($M$86:$Z$100,MATCH($CW97,$L$86:$L$100,0),MATCH(CX$87,$M$87:$Z$87,0))/INDEX(고양시_재차인원!$D$4:$H$35,MATCH("고양시",고양시_재차인원!$B$4:$B$35,0),MATCH($CX$86,고양시_재차인원!$D$4:$H$4,0))</f>
        <v>55.378257237252321</v>
      </c>
      <c r="CY97" s="267">
        <f>INDEX($M$86:$Z$100,MATCH($CW97,$L$86:$L$100,0),MATCH(CY$87,$M$87:$Z$87,0))/INDEX(고양시_재차인원!$K$4:$O$20,MATCH("경기도",고양시_재차인원!$K$4:$K$20,0),MATCH($CY$87,고양시_재차인원!$K$4:$O$4,0))</f>
        <v>4.5807929612761577E-4</v>
      </c>
      <c r="CZ97" s="267">
        <f>INDEX($M$86:$Z$100,MATCH($CW97,$L$86:$L$100,0),MATCH(CZ$87,$M$87:$Z$87,0))/INDEX(고양시_재차인원!$K$4:$O$20,MATCH("경기도",고양시_재차인원!$K$4:$K$20,0),MATCH($CZ$87,고양시_재차인원!$K$4:$O$4,0))</f>
        <v>0.12734604432347718</v>
      </c>
      <c r="DA97" s="267">
        <f>INDEX($M$86:$Z$100,MATCH($CW97,$L$86:$L$100,0),MATCH(DA$87,$M$87:$Z$87,0))/INDEX(고양시_재차인원!$D$4:$H$35,MATCH("고양시",고양시_재차인원!$B$4:$B$35,0),MATCH($CX$86,고양시_재차인원!$D$4:$H$4,0))</f>
        <v>3.5560777558261112</v>
      </c>
      <c r="DB97" s="267">
        <f>INDEX($AA$86:$AN$100,MATCH($CW97,$L$86:$L$100,0),MATCH(DB$87,$AA$87:$AN$87,0))/INDEX(고양시_재차인원!$D$4:$H$35,MATCH("고양시",고양시_재차인원!$B$4:$B$35,0),MATCH($DB$86,고양시_재차인원!$D$4:$H$4,0))</f>
        <v>318.35307109547557</v>
      </c>
      <c r="DC97" s="267">
        <f>INDEX($AA$86:$AN$100,MATCH($CW97,$L$86:$L$100,0),MATCH(DC$87,$AA$87:$AN$87,0))/INDEX(고양시_재차인원!$K$4:$O$20,MATCH("경기도",고양시_재차인원!$K$4:$K$20,0),MATCH(DC$87,고양시_재차인원!$K$4:$O$4,0))</f>
        <v>3.3152135807176979E-3</v>
      </c>
      <c r="DD97" s="267">
        <f>INDEX($AA$86:$AN$100,MATCH($CW97,$L$86:$L$100,0),MATCH(DD$87,$AA$87:$AN$87,0))/INDEX(고양시_재차인원!$K$4:$O$20,MATCH("경기도",고양시_재차인원!$K$4:$K$20,0),MATCH(DD$87,고양시_재차인원!$K$4:$O$4,0))</f>
        <v>0.92162937543952006</v>
      </c>
      <c r="DE97" s="267">
        <f>INDEX($AA$86:$AN$100,MATCH($CW97,$L$86:$L$100,0),MATCH(DE$87,$AA$87:$AN$87,0))/INDEX(고양시_재차인원!$D$4:$H$35,MATCH("고양시",고양시_재차인원!$B$4:$B$35,0),MATCH($DB$86,고양시_재차인원!$D$4:$H$4,0))</f>
        <v>20.442829570664173</v>
      </c>
      <c r="DF97" s="267">
        <f>INDEX($AO$86:$BB$100,MATCH($CW97,$L$86:$L$100,0),MATCH(DF$87,$AO$87:$BB$87,0))/INDEX(고양시_재차인원!$D$4:$H$35,MATCH("고양시",고양시_재차인원!$B$4:$B$35,0),MATCH($DF$86,고양시_재차인원!$D$4:$H$4,0))</f>
        <v>19.808469273233232</v>
      </c>
      <c r="DG97" s="267">
        <f>INDEX($AO$86:$BB$100,MATCH($CW97,$L$86:$L$100,0),MATCH(DG$87,$AO$87:$BB$87,0))/INDEX(고양시_재차인원!$K$4:$O$20,MATCH("경기도",고양시_재차인원!$K$4:$K$20,0),MATCH(DG$87,고양시_재차인원!$K$4:$O$4,0))</f>
        <v>1.9018559728308342E-4</v>
      </c>
      <c r="DH97" s="267">
        <f>INDEX($AO$86:$BB$100,MATCH($CW97,$L$86:$L$100,0),MATCH(DH$87,$AO$87:$BB$87,0))/INDEX(고양시_재차인원!$K$4:$O$20,MATCH("경기도",고양시_재차인원!$K$4:$K$20,0),MATCH(DH$87,고양시_재차인원!$K$4:$O$4,0))</f>
        <v>5.2871596044697176E-2</v>
      </c>
      <c r="DI97" s="267">
        <f>INDEX($AO$86:$BB$100,MATCH($CW97,$L$86:$L$100,0),MATCH(DI$87,$AO$87:$BB$87,0))/INDEX(고양시_재차인원!$D$4:$H$35,MATCH("고양시",고양시_재차인원!$B$4:$B$35,0),MATCH($DF$86,고양시_재차인원!$D$4:$H$4,0))</f>
        <v>1.2719876080196546</v>
      </c>
      <c r="DJ97" s="267">
        <f>INDEX($BC$86:$BP$100,MATCH($CW97,$L$86:$L$100,0),MATCH(DJ$87,$BC$87:$BP$87,0))/INDEX(고양시_재차인원!$D$4:$H$35,MATCH("고양시",고양시_재차인원!$B$4:$B$35,0),MATCH($DJ$86,고양시_재차인원!$D$4:$H$4,0))</f>
        <v>2.9755735280871363E-2</v>
      </c>
      <c r="DK97" s="267">
        <f>INDEX($BC$86:$BP$100,MATCH($CW97,$L$86:$L$100,0),MATCH(DK$87,$BC$87:$BP$87,0))/INDEX(고양시_재차인원!$K$4:$O$20,MATCH("경기도",고양시_재차인원!$K$4:$K$20,0),MATCH(DK$87,고양시_재차인원!$K$4:$O$4,0))</f>
        <v>2.9887731369787805E-7</v>
      </c>
      <c r="DL97" s="267">
        <f>INDEX($BC$86:$BP$100,MATCH($CW97,$L$86:$L$100,0),MATCH(DL$87,$BC$87:$BP$87,0))/INDEX(고양시_재차인원!$K$4:$O$20,MATCH("경기도",고양시_재차인원!$K$4:$K$20,0),MATCH(DL$87,고양시_재차인원!$K$4:$O$4,0))</f>
        <v>8.3087893208010077E-5</v>
      </c>
      <c r="DM97" s="267">
        <f>INDEX($BC$86:$BP$100,MATCH($CW97,$L$86:$L$100,0),MATCH(DM$87,$BC$87:$BP$87,0))/INDEX(고양시_재차인원!$D$4:$H$35,MATCH("고양시",고양시_재차인원!$B$4:$B$35,0),MATCH($DJ$86,고양시_재차인원!$D$4:$H$4,0))</f>
        <v>1.9107446427435997E-3</v>
      </c>
      <c r="DN97" s="267">
        <f>INDEX($BQ$86:$CD$100,MATCH($CW97,$L$86:$L$100,0),MATCH(DN$87,$BQ$87:$CD$87,0))/INDEX(고양시_재차인원!$D$4:$H$35,MATCH("고양시",고양시_재차인원!$B$4:$B$35,0),MATCH($DN$86,고양시_재차인원!$D$4:$H$4,0))</f>
        <v>0.12133202816468226</v>
      </c>
      <c r="DO97" s="267">
        <f>INDEX($BQ$86:$CD$100,MATCH($CW97,$L$86:$L$100,0),MATCH(DO$87,$BQ$87:$CD$87,0))/INDEX(고양시_재차인원!$K$4:$O$20,MATCH("경기도",고양시_재차인원!$K$4:$K$20,0),MATCH(DO$87,고양시_재차인원!$K$4:$O$4,0))</f>
        <v>1.1290920739697655E-6</v>
      </c>
      <c r="DP97" s="267">
        <f>INDEX($BQ$86:$CD$100,MATCH($CW97,$L$86:$L$100,0),MATCH(DP$87,$BQ$87:$CD$87,0))/INDEX(고양시_재차인원!$K$4:$O$20,MATCH("경기도",고양시_재차인원!$K$4:$K$20,0),MATCH(DP$87,고양시_재차인원!$K$4:$O$4,0))</f>
        <v>3.1388759656359475E-4</v>
      </c>
      <c r="DQ97" s="267">
        <f>INDEX($BQ$86:$CD$100,MATCH($CW97,$L$86:$L$100,0),MATCH(DQ$87,$BQ$87:$CD$87,0))/INDEX(고양시_재차인원!$D$4:$H$35,MATCH("고양시",고양시_재차인원!$B$4:$B$35,0),MATCH($DN$86,고양시_재차인원!$D$4:$H$4,0))</f>
        <v>7.791255051187336E-3</v>
      </c>
      <c r="DR97" s="270">
        <f t="shared" si="71"/>
        <v>393.69088536940666</v>
      </c>
      <c r="DS97" s="270">
        <f t="shared" si="64"/>
        <v>3.964906443516064E-3</v>
      </c>
      <c r="DT97" s="270">
        <f t="shared" si="65"/>
        <v>1.1022439912974662</v>
      </c>
      <c r="DU97" s="270">
        <f t="shared" si="66"/>
        <v>25.280596934203867</v>
      </c>
      <c r="DW97" s="278" t="s">
        <v>169</v>
      </c>
      <c r="DX97" s="278" t="s">
        <v>169</v>
      </c>
      <c r="DY97" s="281">
        <f t="shared" si="72"/>
        <v>418.97148230361051</v>
      </c>
      <c r="DZ97" s="281">
        <f t="shared" si="73"/>
        <v>1.1062088977409823</v>
      </c>
      <c r="EB97" s="278" t="s">
        <v>170</v>
      </c>
      <c r="EC97" s="278" t="s">
        <v>170</v>
      </c>
      <c r="ED97" s="281">
        <f t="shared" si="81"/>
        <v>346.51374669143541</v>
      </c>
      <c r="EE97" s="281">
        <f t="shared" si="80"/>
        <v>0.91489899902508809</v>
      </c>
      <c r="EK97" s="420" t="s">
        <v>47</v>
      </c>
      <c r="EL97" s="420" t="s">
        <v>47</v>
      </c>
      <c r="EM97" s="420" t="s">
        <v>571</v>
      </c>
      <c r="EN97" s="420">
        <v>4861.8494000000001</v>
      </c>
      <c r="EO97" s="420">
        <v>0.50932407249705824</v>
      </c>
      <c r="EP97" s="421">
        <v>849010</v>
      </c>
      <c r="EQ97" s="422">
        <f t="shared" si="75"/>
        <v>129.2156865028507</v>
      </c>
      <c r="ER97" s="422">
        <f t="shared" si="76"/>
        <v>0.34116771230167081</v>
      </c>
      <c r="ES97">
        <v>0</v>
      </c>
      <c r="EU97" s="306" t="s">
        <v>47</v>
      </c>
      <c r="EV97" s="306" t="s">
        <v>47</v>
      </c>
      <c r="EW97" s="306" t="s">
        <v>571</v>
      </c>
      <c r="EX97" s="306">
        <v>4861.8494000000001</v>
      </c>
      <c r="EY97" s="306">
        <v>0.50932407249705824</v>
      </c>
      <c r="EZ97" s="307">
        <v>849010</v>
      </c>
      <c r="FA97" s="308">
        <f t="shared" si="77"/>
        <v>129.2156865028507</v>
      </c>
      <c r="FB97" s="308">
        <f t="shared" si="68"/>
        <v>0.34116771230167081</v>
      </c>
      <c r="FD97" s="101"/>
      <c r="FE97" s="101"/>
      <c r="FF97" s="101"/>
      <c r="FG97" s="101"/>
      <c r="FH97" s="101"/>
      <c r="FI97" s="374"/>
      <c r="FJ97" s="404"/>
      <c r="FK97" s="404"/>
    </row>
    <row r="98" spans="1:167" ht="25">
      <c r="A98" s="205" t="s">
        <v>170</v>
      </c>
      <c r="B98" s="205" t="s">
        <v>170</v>
      </c>
      <c r="C98" s="201">
        <f>$K39*KTDB_TripDistribution_2025!T$12</f>
        <v>109.07326997081185</v>
      </c>
      <c r="D98" s="201">
        <f>$K39*KTDB_TripDistribution_2025!U$12</f>
        <v>789.38556917400035</v>
      </c>
      <c r="E98" s="201">
        <f>$K39*KTDB_TripDistribution_2025!V$12</f>
        <v>45.285096210152155</v>
      </c>
      <c r="F98" s="201">
        <f>$K39*KTDB_TripDistribution_2025!W$12</f>
        <v>7.1165682886566897E-2</v>
      </c>
      <c r="G98" s="201">
        <f>$K39*KTDB_TripDistribution_2025!X$12</f>
        <v>0.26884813534925373</v>
      </c>
      <c r="H98" s="201">
        <f>$K39*KTDB_TripDistribution_2025!Y$12</f>
        <v>944.08394917320038</v>
      </c>
      <c r="I98" s="56"/>
      <c r="J98" s="56"/>
      <c r="K98" s="206" t="s">
        <v>170</v>
      </c>
      <c r="L98" s="206" t="s">
        <v>170</v>
      </c>
      <c r="M98" s="206">
        <f>INDEX($A$87:$H$100,MATCH($L98,$B$87:$B$100,0),MATCH($M$86,$A$87:$H$87,0))*고양시_Modal_split!C$3 * 0.01</f>
        <v>0.30540515591827316</v>
      </c>
      <c r="N98" s="206">
        <f>INDEX($A$87:$H$100,MATCH($L98,$B$87:$B$100,0),MATCH($M$86,$A$87:$H$87,0))*고양시_Modal_split!D$3 * 0.01</f>
        <v>51.297158867272813</v>
      </c>
      <c r="O98" s="206">
        <f>INDEX($A$87:$H$100,MATCH($L98,$B$87:$B$100,0),MATCH($M$86,$A$87:$H$87,0))*고양시_Modal_split!E$3 * 0.01</f>
        <v>6.206269061339194</v>
      </c>
      <c r="P98" s="206">
        <f>INDEX($A$87:$H$100,MATCH($L98,$B$87:$B$100,0),MATCH($M$86,$A$87:$H$87,0))*고양시_Modal_split!F$3 * 0.01</f>
        <v>10.002018856323447</v>
      </c>
      <c r="Q98" s="206">
        <f>INDEX($A$87:$H$100,MATCH($L98,$B$87:$B$100,0),MATCH($M$86,$A$87:$H$87,0))*고양시_Modal_split!G$3 * 0.01</f>
        <v>1.0034740837314688</v>
      </c>
      <c r="R98" s="206">
        <f>INDEX($A$87:$H$100,MATCH($L98,$B$87:$B$100,0),MATCH($M$86,$A$87:$H$87,0))*고양시_Modal_split!H$3 * 0.01</f>
        <v>1.0907326997081187E-2</v>
      </c>
      <c r="S98" s="206">
        <f>INDEX($A$87:$H$100,MATCH($L98,$B$87:$B$100,0),MATCH($M$86,$A$87:$H$87,0))*고양시_Modal_split!I$3 * 0.01</f>
        <v>3.0322369051885691</v>
      </c>
      <c r="T98" s="206">
        <f>INDEX($A$87:$H$100,MATCH($L98,$B$87:$B$100,0),MATCH($M$86,$A$87:$H$87,0))*고양시_Modal_split!J$3 * 0.01</f>
        <v>33.20190337911513</v>
      </c>
      <c r="U98" s="206">
        <f>INDEX($A$87:$H$100,MATCH($L98,$B$87:$B$100,0),MATCH($M$86,$A$87:$H$87,0))*고양시_Modal_split!K$3 * 0.01</f>
        <v>0.16360990495621777</v>
      </c>
      <c r="V98" s="206">
        <f>INDEX($A$87:$H$100,MATCH($L98,$B$87:$B$100,0),MATCH($M$86,$A$87:$H$87,0))*고양시_Modal_split!L$3 * 0.01</f>
        <v>3.2940127531185182</v>
      </c>
      <c r="W98" s="206">
        <f>INDEX($A$87:$H$100,MATCH($L98,$B$87:$B$100,0),MATCH($M$86,$A$87:$H$87,0))*고양시_Modal_split!M$3 * 0.01</f>
        <v>0.25086852093286721</v>
      </c>
      <c r="X98" s="206">
        <f>INDEX($A$87:$H$100,MATCH($L98,$B$87:$B$100,0),MATCH($M$86,$A$87:$H$87,0))*고양시_Modal_split!N$3 * 0.01</f>
        <v>0.10907326997081185</v>
      </c>
      <c r="Y98" s="206">
        <f>INDEX($A$87:$H$100,MATCH($L98,$B$87:$B$100,0),MATCH($M$86,$A$87:$H$87,0))*고양시_Modal_split!O$3 * 0.01</f>
        <v>0.19633188594746134</v>
      </c>
      <c r="Z98" s="209">
        <f>INDEX($A$87:$H$100,MATCH($L98,$B$87:$B$100,0),MATCH($M$86,$A$87:$H$87,0))*고양시_Modal_split!P$3 * 0.01</f>
        <v>109.07326997081185</v>
      </c>
      <c r="AA98" s="207">
        <f>INDEX($A$87:$H$100,MATCH($L98,$B$87:$B$100,0),MATCH($AA$86,$A$87:$H$87,0))*고양시_Modal_split!C$3 * 0.01</f>
        <v>2.2102795936872006</v>
      </c>
      <c r="AB98" s="207">
        <f>INDEX($A$87:$H$100,MATCH($L98,$B$87:$B$100,0),MATCH($AA$86,$A$87:$H$87,0))*고양시_Modal_split!D$3 * 0.01</f>
        <v>371.24803318253237</v>
      </c>
      <c r="AC98" s="207">
        <f>INDEX($A$87:$H$100,MATCH($L98,$B$87:$B$100,0),MATCH($AA$86,$A$87:$H$87,0))*고양시_Modal_split!E$3 * 0.01</f>
        <v>44.916038886000614</v>
      </c>
      <c r="AD98" s="207">
        <f>INDEX($A$87:$H$100,MATCH($L98,$B$87:$B$100,0),MATCH($AA$86,$A$87:$H$87,0))*고양시_Modal_split!F$3 * 0.01</f>
        <v>72.386656693255844</v>
      </c>
      <c r="AE98" s="207">
        <f>INDEX($A$87:$H$100,MATCH($L98,$B$87:$B$100,0),MATCH($AA$86,$A$87:$H$87,0))*고양시_Modal_split!G$3 * 0.01</f>
        <v>7.2623472364008022</v>
      </c>
      <c r="AF98" s="207">
        <f>INDEX($A$87:$H$100,MATCH($L98,$B$87:$B$100,0),MATCH($AA$86,$A$87:$H$87,0))*고양시_Modal_split!H$3 * 0.01</f>
        <v>7.8938556917400038E-2</v>
      </c>
      <c r="AG98" s="207">
        <f>INDEX($A$87:$H$100,MATCH($L98,$B$87:$B$100,0),MATCH($AA$86,$A$87:$H$87,0))*고양시_Modal_split!I$3 * 0.01</f>
        <v>21.944918823037209</v>
      </c>
      <c r="AH98" s="207">
        <f>INDEX($A$87:$H$100,MATCH($L98,$B$87:$B$100,0),MATCH($AA$86,$A$87:$H$87,0))*고양시_Modal_split!J$3 * 0.01</f>
        <v>240.28896725656571</v>
      </c>
      <c r="AI98" s="207">
        <f>INDEX($A$87:$H$100,MATCH($L98,$B$87:$B$100,0),MATCH($AA$86,$A$87:$H$87,0))*고양시_Modal_split!K$3 * 0.01</f>
        <v>1.1840783537610005</v>
      </c>
      <c r="AJ98" s="207">
        <f>INDEX($A$87:$H$100,MATCH($L98,$B$87:$B$100,0),MATCH($AA$86,$A$87:$H$87,0))*고양시_Modal_split!L$3 * 0.01</f>
        <v>23.839444189054813</v>
      </c>
      <c r="AK98" s="207">
        <f>INDEX($A$87:$H$100,MATCH($L98,$B$87:$B$100,0),MATCH($AA$86,$A$87:$H$87,0))*고양시_Modal_split!M$3 * 0.01</f>
        <v>1.8155868091002005</v>
      </c>
      <c r="AL98" s="207">
        <f>INDEX($A$87:$H$100,MATCH($L98,$B$87:$B$100,0),MATCH($AA$86,$A$87:$H$87,0))*고양시_Modal_split!N$3 * 0.01</f>
        <v>0.78938556917400038</v>
      </c>
      <c r="AM98" s="207">
        <f>INDEX($A$87:$H$100,MATCH($L98,$B$87:$B$100,0),MATCH($AA$86,$A$87:$H$87,0))*고양시_Modal_split!O$3 * 0.01</f>
        <v>1.4208940245132007</v>
      </c>
      <c r="AN98" s="207">
        <f>INDEX($A$87:$H$100,MATCH($L98,$B$87:$B$100,0),MATCH($AA$86,$A$87:$H$87,0))*고양시_Modal_split!P$3 * 0.01</f>
        <v>789.38556917400047</v>
      </c>
      <c r="AO98" s="303">
        <f>INDEX($A$87:$H$100,MATCH($L98,$B$87:$B$100,0),MATCH($AO$86,$A$87:$H$87,0))*고양시_Modal_split!C$3 * 0.01</f>
        <v>0.12679826938842603</v>
      </c>
      <c r="AP98" s="303">
        <f>INDEX($A$87:$H$100,MATCH($L98,$B$87:$B$100,0),MATCH($AO$86,$A$87:$H$87,0))*고양시_Modal_split!D$3 * 0.01</f>
        <v>21.297580747634562</v>
      </c>
      <c r="AQ98" s="303">
        <f>INDEX($A$87:$H$100,MATCH($L98,$B$87:$B$100,0),MATCH($AO$86,$A$87:$H$87,0))*고양시_Modal_split!E$3 * 0.01</f>
        <v>2.5767219743576573</v>
      </c>
      <c r="AR98" s="303">
        <f>INDEX($A$87:$H$100,MATCH($L98,$B$87:$B$100,0),MATCH($AO$86,$A$87:$H$87,0))*고양시_Modal_split!F$3 * 0.01</f>
        <v>4.1526433224709525</v>
      </c>
      <c r="AS98" s="303">
        <f>INDEX($A$87:$H$100,MATCH($L98,$B$87:$B$100,0),MATCH($AO$86,$A$87:$H$87,0))*고양시_Modal_split!G$3 * 0.01</f>
        <v>0.41662288513339979</v>
      </c>
      <c r="AT98" s="303">
        <f>INDEX($A$87:$H$100,MATCH($L98,$B$87:$B$100,0),MATCH($AO$86,$A$87:$H$87,0))*고양시_Modal_split!H$3 * 0.01</f>
        <v>4.5285096210152158E-3</v>
      </c>
      <c r="AU98" s="303">
        <f>INDEX($A$87:$H$100,MATCH($L98,$B$87:$B$100,0),MATCH($AO$86,$A$87:$H$87,0))*고양시_Modal_split!I$3 * 0.01</f>
        <v>1.2589256746422297</v>
      </c>
      <c r="AV98" s="303">
        <f>INDEX($A$87:$H$100,MATCH($L98,$B$87:$B$100,0),MATCH($AO$86,$A$87:$H$87,0))*고양시_Modal_split!J$3 * 0.01</f>
        <v>13.784783286370317</v>
      </c>
      <c r="AW98" s="303">
        <f>INDEX($A$87:$H$100,MATCH($L98,$B$87:$B$100,0),MATCH($AO$86,$A$87:$H$87,0))*고양시_Modal_split!K$3 * 0.01</f>
        <v>6.7927644315228228E-2</v>
      </c>
      <c r="AX98" s="303">
        <f>INDEX($A$87:$H$100,MATCH($L98,$B$87:$B$100,0),MATCH($AO$86,$A$87:$H$87,0))*고양시_Modal_split!L$3 * 0.01</f>
        <v>1.3676099055465951</v>
      </c>
      <c r="AY98" s="303">
        <f>INDEX($A$87:$H$100,MATCH($L98,$B$87:$B$100,0),MATCH($AO$86,$A$87:$H$87,0))*고양시_Modal_split!M$3 * 0.01</f>
        <v>0.10415572128334995</v>
      </c>
      <c r="AZ98" s="303">
        <f>INDEX($A$87:$H$100,MATCH($L98,$B$87:$B$100,0),MATCH($AO$86,$A$87:$H$87,0))*고양시_Modal_split!N$3 * 0.01</f>
        <v>4.5285096210152156E-2</v>
      </c>
      <c r="BA98" s="207">
        <f>INDEX($A$87:$H$100,MATCH($L98,$B$87:$B$100,0),MATCH($AO$86,$A$87:$H$87,0))*고양시_Modal_split!O$3 * 0.01</f>
        <v>8.1513173178273876E-2</v>
      </c>
      <c r="BB98" s="207">
        <f>INDEX($A$87:$H$100,MATCH($L98,$B$87:$B$100,0),MATCH($AO$86,$A$87:$H$87,0))*고양시_Modal_split!P$3 * 0.01</f>
        <v>45.285096210152155</v>
      </c>
      <c r="BC98" s="207">
        <f>INDEX($A$87:$H$100,MATCH($L98,$B$87:$B$100,0),MATCH($BC$86,$A$87:$H$87,0))*고양시_Modal_split!C$3 * 0.01</f>
        <v>1.992639120823873E-4</v>
      </c>
      <c r="BD98" s="207">
        <f>INDEX($A$87:$H$100,MATCH($L98,$B$87:$B$100,0),MATCH($BC$86,$A$87:$H$87,0))*고양시_Modal_split!D$3 * 0.01</f>
        <v>3.3469220661552418E-2</v>
      </c>
      <c r="BE98" s="207">
        <f>INDEX($A$87:$H$100,MATCH($L98,$B$87:$B$100,0),MATCH($BC$86,$A$87:$H$87,0))*고양시_Modal_split!E$3 * 0.01</f>
        <v>4.0493273562456564E-3</v>
      </c>
      <c r="BF98" s="207">
        <f>INDEX($A$87:$H$100,MATCH($L98,$B$87:$B$100,0),MATCH($BC$86,$A$87:$H$87,0))*고양시_Modal_split!F$3 * 0.01</f>
        <v>6.5258931206981846E-3</v>
      </c>
      <c r="BG98" s="207">
        <f>INDEX($A$87:$H$100,MATCH($L98,$B$87:$B$100,0),MATCH($BC$86,$A$87:$H$87,0))*고양시_Modal_split!G$3 * 0.01</f>
        <v>6.5472428255641541E-4</v>
      </c>
      <c r="BH98" s="207">
        <f>INDEX($A$87:$H$100,MATCH($L98,$B$87:$B$100,0),MATCH($BC$86,$A$87:$H$87,0))*고양시_Modal_split!H$3 * 0.01</f>
        <v>7.1165682886566902E-6</v>
      </c>
      <c r="BI98" s="207">
        <f>INDEX($A$87:$H$100,MATCH($L98,$B$87:$B$100,0),MATCH($BC$86,$A$87:$H$87,0))*고양시_Modal_split!I$3 * 0.01</f>
        <v>1.9784059842465596E-3</v>
      </c>
      <c r="BJ98" s="207">
        <f>INDEX($A$87:$H$100,MATCH($L98,$B$87:$B$100,0),MATCH($BC$86,$A$87:$H$87,0))*고양시_Modal_split!J$3 * 0.01</f>
        <v>2.1662833870670965E-2</v>
      </c>
      <c r="BK98" s="207">
        <f>INDEX($A$87:$H$100,MATCH($L98,$B$87:$B$100,0),MATCH($BC$86,$A$87:$H$87,0))*고양시_Modal_split!K$3 * 0.01</f>
        <v>1.0674852432985033E-4</v>
      </c>
      <c r="BL98" s="207">
        <f>INDEX($A$87:$H$100,MATCH($L98,$B$87:$B$100,0),MATCH($BC$86,$A$87:$H$87,0))*고양시_Modal_split!L$3 * 0.01</f>
        <v>2.1492036231743204E-3</v>
      </c>
      <c r="BM98" s="207">
        <f>INDEX($A$87:$H$100,MATCH($L98,$B$87:$B$100,0),MATCH($BC$86,$A$87:$H$87,0))*고양시_Modal_split!M$3 * 0.01</f>
        <v>1.6368107063910385E-4</v>
      </c>
      <c r="BN98" s="207">
        <f>INDEX($A$87:$H$100,MATCH($L98,$B$87:$B$100,0),MATCH($BC$86,$A$87:$H$87,0))*고양시_Modal_split!N$3 * 0.01</f>
        <v>7.1165682886566902E-5</v>
      </c>
      <c r="BO98" s="207">
        <f>INDEX($A$87:$H$100,MATCH($L98,$B$87:$B$100,0),MATCH($BC$86,$A$87:$H$87,0))*고양시_Modal_split!O$3 * 0.01</f>
        <v>1.2809822919582041E-4</v>
      </c>
      <c r="BP98" s="207">
        <f>INDEX($A$87:$H$100,MATCH($L98,$B$87:$B$100,0),MATCH($BC$86,$A$87:$H$87,0))*고양시_Modal_split!P$3 * 0.01</f>
        <v>7.1165682886566897E-2</v>
      </c>
      <c r="BQ98" s="207">
        <f>INDEX($A$87:$H$100,MATCH($L98,$B$87:$B$100,0),MATCH($BQ$86,$A$87:$H$87,0))*고양시_Modal_split!C$3 * 0.01</f>
        <v>7.5277477897791028E-4</v>
      </c>
      <c r="BR98" s="207">
        <f>INDEX($A$87:$H$100,MATCH($L98,$B$87:$B$100,0),MATCH($BQ$86,$A$87:$H$87,0))*고양시_Modal_split!D$3 * 0.01</f>
        <v>0.12643927805475402</v>
      </c>
      <c r="BS98" s="207">
        <f>INDEX($A$87:$H$100,MATCH($L98,$B$87:$B$100,0),MATCH($BQ$86,$A$87:$H$87,0))*고양시_Modal_split!E$3 * 0.01</f>
        <v>1.5297458901372536E-2</v>
      </c>
      <c r="BT98" s="207">
        <f>INDEX($A$87:$H$100,MATCH($L98,$B$87:$B$100,0),MATCH($BQ$86,$A$87:$H$87,0))*고양시_Modal_split!F$3 * 0.01</f>
        <v>2.4653374011526567E-2</v>
      </c>
      <c r="BU98" s="207">
        <f>INDEX($A$87:$H$100,MATCH($L98,$B$87:$B$100,0),MATCH($BQ$86,$A$87:$H$87,0))*고양시_Modal_split!G$3 * 0.01</f>
        <v>2.4734028452131343E-3</v>
      </c>
      <c r="BV98" s="207">
        <f>INDEX($A$87:$H$100,MATCH($L98,$B$87:$B$100,0),MATCH($BQ$86,$A$87:$H$87,0))*고양시_Modal_split!H$3 * 0.01</f>
        <v>2.6884813534925375E-5</v>
      </c>
      <c r="BW98" s="207">
        <f>INDEX($A$87:$H$100,MATCH($L98,$B$87:$B$100,0),MATCH($BQ$86,$A$87:$H$87,0))*고양시_Modal_split!I$3 * 0.01</f>
        <v>7.4739781627092532E-3</v>
      </c>
      <c r="BX98" s="207">
        <f>INDEX($A$87:$H$100,MATCH($L98,$B$87:$B$100,0),MATCH($BQ$86,$A$87:$H$87,0))*고양시_Modal_split!J$3 * 0.01</f>
        <v>8.1837372400312844E-2</v>
      </c>
      <c r="BY98" s="207">
        <f>INDEX($A$87:$H$100,MATCH($L98,$B$87:$B$100,0),MATCH($BQ$86,$A$87:$H$87,0))*고양시_Modal_split!K$3 * 0.01</f>
        <v>4.0327220302388057E-4</v>
      </c>
      <c r="BZ98" s="207">
        <f>INDEX($A$87:$H$100,MATCH($L98,$B$87:$B$100,0),MATCH($BQ$86,$A$87:$H$87,0))*고양시_Modal_split!L$3 * 0.01</f>
        <v>8.1192136875474635E-3</v>
      </c>
      <c r="CA98" s="207">
        <f>INDEX($A$87:$H$100,MATCH($L98,$B$87:$B$100,0),MATCH($BQ$86,$A$87:$H$87,0))*고양시_Modal_split!M$3 * 0.01</f>
        <v>6.1835071130328357E-4</v>
      </c>
      <c r="CB98" s="207">
        <f>INDEX($A$87:$H$100,MATCH($L98,$B$87:$B$100,0),MATCH($BQ$86,$A$87:$H$87,0))*고양시_Modal_split!N$3 * 0.01</f>
        <v>2.6884813534925375E-4</v>
      </c>
      <c r="CC98" s="207">
        <f>INDEX($A$87:$H$100,MATCH($L98,$B$87:$B$100,0),MATCH($BQ$86,$A$87:$H$87,0))*고양시_Modal_split!O$3 * 0.01</f>
        <v>4.8392664362865669E-4</v>
      </c>
      <c r="CD98" s="207">
        <f>INDEX($A$87:$H$100,MATCH($L98,$B$87:$B$100,0),MATCH($BQ$86,$A$87:$H$87,0))*고양시_Modal_split!P$3 * 0.01</f>
        <v>0.26884813534925373</v>
      </c>
      <c r="CE98" s="304">
        <f t="shared" si="69"/>
        <v>2.6434350576849601</v>
      </c>
      <c r="CF98" s="304">
        <f t="shared" si="51"/>
        <v>444.00268129615608</v>
      </c>
      <c r="CG98" s="304">
        <f t="shared" si="52"/>
        <v>53.718376707955088</v>
      </c>
      <c r="CH98" s="304">
        <f t="shared" si="53"/>
        <v>86.572498139182457</v>
      </c>
      <c r="CI98" s="304">
        <f t="shared" si="54"/>
        <v>8.6855723323934413</v>
      </c>
      <c r="CJ98" s="304">
        <f t="shared" si="55"/>
        <v>9.4408394917320018E-2</v>
      </c>
      <c r="CK98" s="304">
        <f t="shared" si="56"/>
        <v>26.245533787014967</v>
      </c>
      <c r="CL98" s="304">
        <f t="shared" si="57"/>
        <v>287.37915412832211</v>
      </c>
      <c r="CM98" s="304">
        <f t="shared" si="58"/>
        <v>1.4161259237598001</v>
      </c>
      <c r="CN98" s="304">
        <f t="shared" si="59"/>
        <v>28.511335265030645</v>
      </c>
      <c r="CO98" s="304">
        <f t="shared" si="60"/>
        <v>2.1713930830983603</v>
      </c>
      <c r="CP98" s="304">
        <f t="shared" si="61"/>
        <v>0.94408394917320027</v>
      </c>
      <c r="CQ98" s="304">
        <f t="shared" si="62"/>
        <v>1.6993511085117605</v>
      </c>
      <c r="CR98" s="304">
        <f t="shared" si="63"/>
        <v>944.08394917320027</v>
      </c>
      <c r="CS98" s="305">
        <f t="shared" si="70"/>
        <v>0</v>
      </c>
      <c r="CV98" s="267" t="s">
        <v>170</v>
      </c>
      <c r="CW98" s="267" t="s">
        <v>170</v>
      </c>
      <c r="CX98" s="267">
        <f>INDEX($M$86:$Z$100,MATCH($CW98,$L$86:$L$100,0),MATCH(CX$87,$M$87:$Z$87,0))/INDEX(고양시_재차인원!$D$4:$H$35,MATCH("고양시",고양시_재차인원!$B$4:$B$35,0),MATCH($CX$86,고양시_재차인원!$D$4:$H$4,0))</f>
        <v>45.801034702922152</v>
      </c>
      <c r="CY98" s="267">
        <f>INDEX($M$86:$Z$100,MATCH($CW98,$L$86:$L$100,0),MATCH(CY$87,$M$87:$Z$87,0))/INDEX(고양시_재차인원!$K$4:$O$20,MATCH("경기도",고양시_재차인원!$K$4:$K$20,0),MATCH($CY$87,고양시_재차인원!$K$4:$O$4,0))</f>
        <v>3.7885817982220171E-4</v>
      </c>
      <c r="CZ98" s="267">
        <f>INDEX($M$86:$Z$100,MATCH($CW98,$L$86:$L$100,0),MATCH(CZ$87,$M$87:$Z$87,0))/INDEX(고양시_재차인원!$K$4:$O$20,MATCH("경기도",고양시_재차인원!$K$4:$K$20,0),MATCH($CZ$87,고양시_재차인원!$K$4:$O$4,0))</f>
        <v>0.10532257399057204</v>
      </c>
      <c r="DA98" s="267">
        <f>INDEX($M$86:$Z$100,MATCH($CW98,$L$86:$L$100,0),MATCH(DA$87,$M$87:$Z$87,0))/INDEX(고양시_재차인원!$D$4:$H$35,MATCH("고양시",고양시_재차인원!$B$4:$B$35,0),MATCH($CX$86,고양시_재차인원!$D$4:$H$4,0))</f>
        <v>2.9410828152843909</v>
      </c>
      <c r="DB98" s="267">
        <f>INDEX($AA$86:$AN$100,MATCH($CW98,$L$86:$L$100,0),MATCH(DB$87,$AA$87:$AN$87,0))/INDEX(고양시_재차인원!$D$4:$H$35,MATCH("고양시",고양시_재차인원!$B$4:$B$35,0),MATCH($DB$86,고양시_재차인원!$D$4:$H$4,0))</f>
        <v>263.29647743442013</v>
      </c>
      <c r="DC98" s="267">
        <f>INDEX($AA$86:$AN$100,MATCH($CW98,$L$86:$L$100,0),MATCH(DC$87,$AA$87:$AN$87,0))/INDEX(고양시_재차인원!$K$4:$O$20,MATCH("경기도",고양시_재차인원!$K$4:$K$20,0),MATCH(DC$87,고양시_재차인원!$K$4:$O$4,0))</f>
        <v>2.7418741548245933E-3</v>
      </c>
      <c r="DD98" s="267">
        <f>INDEX($AA$86:$AN$100,MATCH($CW98,$L$86:$L$100,0),MATCH(DD$87,$AA$87:$AN$87,0))/INDEX(고양시_재차인원!$K$4:$O$20,MATCH("경기도",고양시_재차인원!$K$4:$K$20,0),MATCH(DD$87,고양시_재차인원!$K$4:$O$4,0))</f>
        <v>0.76224101504123687</v>
      </c>
      <c r="DE98" s="267">
        <f>INDEX($AA$86:$AN$100,MATCH($CW98,$L$86:$L$100,0),MATCH(DE$87,$AA$87:$AN$87,0))/INDEX(고양시_재차인원!$D$4:$H$35,MATCH("고양시",고양시_재차인원!$B$4:$B$35,0),MATCH($DB$86,고양시_재차인원!$D$4:$H$4,0))</f>
        <v>16.907407226280011</v>
      </c>
      <c r="DF98" s="267">
        <f>INDEX($AO$86:$BB$100,MATCH($CW98,$L$86:$L$100,0),MATCH(DF$87,$AO$87:$BB$87,0))/INDEX(고양시_재차인원!$D$4:$H$35,MATCH("고양시",고양시_재차인원!$B$4:$B$35,0),MATCH($DF$86,고양시_재차인원!$D$4:$H$4,0))</f>
        <v>16.382754421257356</v>
      </c>
      <c r="DG98" s="267">
        <f>INDEX($AO$86:$BB$100,MATCH($CW98,$L$86:$L$100,0),MATCH(DG$87,$AO$87:$BB$87,0))/INDEX(고양시_재차인원!$K$4:$O$20,MATCH("경기도",고양시_재차인원!$K$4:$K$20,0),MATCH(DG$87,고양시_재차인원!$K$4:$O$4,0))</f>
        <v>1.5729453355384565E-4</v>
      </c>
      <c r="DH98" s="267">
        <f>INDEX($AO$86:$BB$100,MATCH($CW98,$L$86:$L$100,0),MATCH(DH$87,$AO$87:$BB$87,0))/INDEX(고양시_재차인원!$K$4:$O$20,MATCH("경기도",고양시_재차인원!$K$4:$K$20,0),MATCH(DH$87,고양시_재차인원!$K$4:$O$4,0))</f>
        <v>4.3727880327969079E-2</v>
      </c>
      <c r="DI98" s="267">
        <f>INDEX($AO$86:$BB$100,MATCH($CW98,$L$86:$L$100,0),MATCH(DI$87,$AO$87:$BB$87,0))/INDEX(고양시_재차인원!$D$4:$H$35,MATCH("고양시",고양시_재차인원!$B$4:$B$35,0),MATCH($DF$86,고양시_재차인원!$D$4:$H$4,0))</f>
        <v>1.0520076196512269</v>
      </c>
      <c r="DJ98" s="267">
        <f>INDEX($BC$86:$BP$100,MATCH($CW98,$L$86:$L$100,0),MATCH(DJ$87,$BC$87:$BP$87,0))/INDEX(고양시_재차인원!$D$4:$H$35,MATCH("고양시",고양시_재차인원!$B$4:$B$35,0),MATCH($DJ$86,고양시_재차인원!$D$4:$H$4,0))</f>
        <v>2.4609721074670892E-2</v>
      </c>
      <c r="DK98" s="267">
        <f>INDEX($BC$86:$BP$100,MATCH($CW98,$L$86:$L$100,0),MATCH(DK$87,$BC$87:$BP$87,0))/INDEX(고양시_재차인원!$K$4:$O$20,MATCH("경기도",고양시_재차인원!$K$4:$K$20,0),MATCH(DK$87,고양시_재차인원!$K$4:$O$4,0))</f>
        <v>2.4718889505580724E-7</v>
      </c>
      <c r="DL98" s="267">
        <f>INDEX($BC$86:$BP$100,MATCH($CW98,$L$86:$L$100,0),MATCH(DL$87,$BC$87:$BP$87,0))/INDEX(고양시_재차인원!$K$4:$O$20,MATCH("경기도",고양시_재차인원!$K$4:$K$20,0),MATCH(DL$87,고양시_재차인원!$K$4:$O$4,0))</f>
        <v>6.871851282551441E-5</v>
      </c>
      <c r="DM98" s="267">
        <f>INDEX($BC$86:$BP$100,MATCH($CW98,$L$86:$L$100,0),MATCH(DM$87,$BC$87:$BP$87,0))/INDEX(고양시_재차인원!$D$4:$H$35,MATCH("고양시",고양시_재차인원!$B$4:$B$35,0),MATCH($DJ$86,고양시_재차인원!$D$4:$H$4,0))</f>
        <v>1.5802967817458238E-3</v>
      </c>
      <c r="DN98" s="267">
        <f>INDEX($BQ$86:$CD$100,MATCH($CW98,$L$86:$L$100,0),MATCH(DN$87,$BQ$87:$CD$87,0))/INDEX(고양시_재차인원!$D$4:$H$35,MATCH("고양시",고양시_재차인원!$B$4:$B$35,0),MATCH($DN$86,고양시_재차인원!$D$4:$H$4,0))</f>
        <v>0.10034863337678891</v>
      </c>
      <c r="DO98" s="267">
        <f>INDEX($BQ$86:$CD$100,MATCH($CW98,$L$86:$L$100,0),MATCH(DO$87,$BQ$87:$CD$87,0))/INDEX(고양시_재차인원!$K$4:$O$20,MATCH("경기도",고양시_재차인원!$K$4:$K$20,0),MATCH(DO$87,고양시_재차인원!$K$4:$O$4,0))</f>
        <v>9.3382471465527531E-7</v>
      </c>
      <c r="DP98" s="267">
        <f>INDEX($BQ$86:$CD$100,MATCH($CW98,$L$86:$L$100,0),MATCH(DP$87,$BQ$87:$CD$87,0))/INDEX(고양시_재차인원!$K$4:$O$20,MATCH("경기도",고양시_재차인원!$K$4:$K$20,0),MATCH(DP$87,고양시_재차인원!$K$4:$O$4,0))</f>
        <v>2.5960327067416647E-4</v>
      </c>
      <c r="DQ98" s="267">
        <f>INDEX($BQ$86:$CD$100,MATCH($CW98,$L$86:$L$100,0),MATCH(DQ$87,$BQ$87:$CD$87,0))/INDEX(고양시_재차인원!$D$4:$H$35,MATCH("고양시",고양시_재차인원!$B$4:$B$35,0),MATCH($DN$86,고양시_재차인원!$D$4:$H$4,0))</f>
        <v>6.4438203869424315E-3</v>
      </c>
      <c r="DR98" s="270">
        <f t="shared" si="71"/>
        <v>325.60522491305107</v>
      </c>
      <c r="DS98" s="270">
        <f t="shared" si="64"/>
        <v>3.2792078818103519E-3</v>
      </c>
      <c r="DT98" s="270">
        <f t="shared" si="65"/>
        <v>0.91161979114327774</v>
      </c>
      <c r="DU98" s="270">
        <f t="shared" si="66"/>
        <v>20.908521778384319</v>
      </c>
      <c r="DW98" s="278" t="s">
        <v>170</v>
      </c>
      <c r="DX98" s="278" t="s">
        <v>170</v>
      </c>
      <c r="DY98" s="281">
        <f t="shared" si="72"/>
        <v>346.51374669143541</v>
      </c>
      <c r="DZ98" s="281">
        <f t="shared" si="73"/>
        <v>0.91489899902508809</v>
      </c>
      <c r="EB98" s="278" t="s">
        <v>171</v>
      </c>
      <c r="EC98" s="278" t="s">
        <v>171</v>
      </c>
      <c r="ED98" s="281">
        <f t="shared" si="81"/>
        <v>13.916982366461909</v>
      </c>
      <c r="EE98" s="281">
        <f t="shared" si="80"/>
        <v>3.6744958484616751E-2</v>
      </c>
      <c r="EK98" s="420" t="s">
        <v>47</v>
      </c>
      <c r="EL98" s="420" t="s">
        <v>47</v>
      </c>
      <c r="EM98" s="420" t="s">
        <v>572</v>
      </c>
      <c r="EN98" s="420">
        <v>2430.8498</v>
      </c>
      <c r="EO98" s="420">
        <v>0.25465418977491561</v>
      </c>
      <c r="EP98" s="421">
        <v>849011</v>
      </c>
      <c r="EQ98" s="422">
        <f t="shared" si="75"/>
        <v>64.605852598461269</v>
      </c>
      <c r="ER98" s="422">
        <f t="shared" si="76"/>
        <v>0.17057860023697446</v>
      </c>
      <c r="ES98">
        <v>0</v>
      </c>
      <c r="EU98" s="306" t="s">
        <v>47</v>
      </c>
      <c r="EV98" s="306" t="s">
        <v>47</v>
      </c>
      <c r="EW98" s="306" t="s">
        <v>572</v>
      </c>
      <c r="EX98" s="306">
        <v>2430.8498</v>
      </c>
      <c r="EY98" s="306">
        <v>0.25465418977491561</v>
      </c>
      <c r="EZ98" s="307">
        <v>849011</v>
      </c>
      <c r="FA98" s="308">
        <f t="shared" si="77"/>
        <v>64.605852598461269</v>
      </c>
      <c r="FB98" s="308">
        <f t="shared" si="68"/>
        <v>0.17057860023697446</v>
      </c>
      <c r="FD98" s="101"/>
      <c r="FE98" s="101"/>
      <c r="FF98" s="101"/>
      <c r="FG98" s="101"/>
      <c r="FH98" s="101"/>
      <c r="FI98" s="374"/>
      <c r="FJ98" s="404"/>
      <c r="FK98" s="404"/>
    </row>
    <row r="99" spans="1:167">
      <c r="A99" s="205" t="s">
        <v>171</v>
      </c>
      <c r="B99" s="205" t="s">
        <v>171</v>
      </c>
      <c r="C99" s="201">
        <f>$K40*KTDB_TripDistribution_2025!T$12</f>
        <v>4.3806942418011907</v>
      </c>
      <c r="D99" s="201">
        <f>$K40*KTDB_TripDistribution_2025!U$12</f>
        <v>31.703980437800013</v>
      </c>
      <c r="E99" s="201">
        <f>$K40*KTDB_TripDistribution_2025!V$12</f>
        <v>1.8187788837752206</v>
      </c>
      <c r="F99" s="201">
        <f>$K40*KTDB_TripDistribution_2025!W$12</f>
        <v>2.8582172086567058E-3</v>
      </c>
      <c r="G99" s="201">
        <f>$K40*KTDB_TripDistribution_2025!X$12</f>
        <v>1.0797709454925372E-2</v>
      </c>
      <c r="H99" s="201">
        <f>$K40*KTDB_TripDistribution_2025!Y$12</f>
        <v>37.917109490040012</v>
      </c>
      <c r="I99" s="56"/>
      <c r="J99" s="56"/>
      <c r="K99" s="206" t="s">
        <v>171</v>
      </c>
      <c r="L99" s="206" t="s">
        <v>171</v>
      </c>
      <c r="M99" s="206">
        <f>INDEX($A$87:$H$100,MATCH($L99,$B$87:$B$100,0),MATCH($M$86,$A$87:$H$87,0))*고양시_Modal_split!C$3 * 0.01</f>
        <v>1.2265943877043333E-2</v>
      </c>
      <c r="N99" s="206">
        <f>INDEX($A$87:$H$100,MATCH($L99,$B$87:$B$100,0),MATCH($M$86,$A$87:$H$87,0))*고양시_Modal_split!D$3 * 0.01</f>
        <v>2.0602405019190999</v>
      </c>
      <c r="O99" s="206">
        <f>INDEX($A$87:$H$100,MATCH($L99,$B$87:$B$100,0),MATCH($M$86,$A$87:$H$87,0))*고양시_Modal_split!E$3 * 0.01</f>
        <v>0.24926150235848774</v>
      </c>
      <c r="P99" s="206">
        <f>INDEX($A$87:$H$100,MATCH($L99,$B$87:$B$100,0),MATCH($M$86,$A$87:$H$87,0))*고양시_Modal_split!F$3 * 0.01</f>
        <v>0.40170966197316921</v>
      </c>
      <c r="Q99" s="206">
        <f>INDEX($A$87:$H$100,MATCH($L99,$B$87:$B$100,0),MATCH($M$86,$A$87:$H$87,0))*고양시_Modal_split!G$3 * 0.01</f>
        <v>4.0302387024570951E-2</v>
      </c>
      <c r="R99" s="206">
        <f>INDEX($A$87:$H$100,MATCH($L99,$B$87:$B$100,0),MATCH($M$86,$A$87:$H$87,0))*고양시_Modal_split!H$3 * 0.01</f>
        <v>4.3806942418011911E-4</v>
      </c>
      <c r="S99" s="206">
        <f>INDEX($A$87:$H$100,MATCH($L99,$B$87:$B$100,0),MATCH($M$86,$A$87:$H$87,0))*고양시_Modal_split!I$3 * 0.01</f>
        <v>0.1217832999220731</v>
      </c>
      <c r="T99" s="206">
        <f>INDEX($A$87:$H$100,MATCH($L99,$B$87:$B$100,0),MATCH($M$86,$A$87:$H$87,0))*고양시_Modal_split!J$3 * 0.01</f>
        <v>1.3334833272042825</v>
      </c>
      <c r="U99" s="206">
        <f>INDEX($A$87:$H$100,MATCH($L99,$B$87:$B$100,0),MATCH($M$86,$A$87:$H$87,0))*고양시_Modal_split!K$3 * 0.01</f>
        <v>6.5710413627017858E-3</v>
      </c>
      <c r="V99" s="206">
        <f>INDEX($A$87:$H$100,MATCH($L99,$B$87:$B$100,0),MATCH($M$86,$A$87:$H$87,0))*고양시_Modal_split!L$3 * 0.01</f>
        <v>0.13229696610239597</v>
      </c>
      <c r="W99" s="206">
        <f>INDEX($A$87:$H$100,MATCH($L99,$B$87:$B$100,0),MATCH($M$86,$A$87:$H$87,0))*고양시_Modal_split!M$3 * 0.01</f>
        <v>1.0075596756142738E-2</v>
      </c>
      <c r="X99" s="206">
        <f>INDEX($A$87:$H$100,MATCH($L99,$B$87:$B$100,0),MATCH($M$86,$A$87:$H$87,0))*고양시_Modal_split!N$3 * 0.01</f>
        <v>4.3806942418011911E-3</v>
      </c>
      <c r="Y99" s="206">
        <f>INDEX($A$87:$H$100,MATCH($L99,$B$87:$B$100,0),MATCH($M$86,$A$87:$H$87,0))*고양시_Modal_split!O$3 * 0.01</f>
        <v>7.885249635242144E-3</v>
      </c>
      <c r="Z99" s="209">
        <f>INDEX($A$87:$H$100,MATCH($L99,$B$87:$B$100,0),MATCH($M$86,$A$87:$H$87,0))*고양시_Modal_split!P$3 * 0.01</f>
        <v>4.3806942418011907</v>
      </c>
      <c r="AA99" s="207">
        <f>INDEX($A$87:$H$100,MATCH($L99,$B$87:$B$100,0),MATCH($AA$86,$A$87:$H$87,0))*고양시_Modal_split!C$3 * 0.01</f>
        <v>8.8771145225840037E-2</v>
      </c>
      <c r="AB99" s="207">
        <f>INDEX($A$87:$H$100,MATCH($L99,$B$87:$B$100,0),MATCH($AA$86,$A$87:$H$87,0))*고양시_Modal_split!D$3 * 0.01</f>
        <v>14.910381999897348</v>
      </c>
      <c r="AC99" s="207">
        <f>INDEX($A$87:$H$100,MATCH($L99,$B$87:$B$100,0),MATCH($AA$86,$A$87:$H$87,0))*고양시_Modal_split!E$3 * 0.01</f>
        <v>1.8039564869108204</v>
      </c>
      <c r="AD99" s="207">
        <f>INDEX($A$87:$H$100,MATCH($L99,$B$87:$B$100,0),MATCH($AA$86,$A$87:$H$87,0))*고양시_Modal_split!F$3 * 0.01</f>
        <v>2.9072550061462614</v>
      </c>
      <c r="AE99" s="207">
        <f>INDEX($A$87:$H$100,MATCH($L99,$B$87:$B$100,0),MATCH($AA$86,$A$87:$H$87,0))*고양시_Modal_split!G$3 * 0.01</f>
        <v>0.29167662002776007</v>
      </c>
      <c r="AF99" s="207">
        <f>INDEX($A$87:$H$100,MATCH($L99,$B$87:$B$100,0),MATCH($AA$86,$A$87:$H$87,0))*고양시_Modal_split!H$3 * 0.01</f>
        <v>3.1703980437800014E-3</v>
      </c>
      <c r="AG99" s="207">
        <f>INDEX($A$87:$H$100,MATCH($L99,$B$87:$B$100,0),MATCH($AA$86,$A$87:$H$87,0))*고양시_Modal_split!I$3 * 0.01</f>
        <v>0.88137065617084032</v>
      </c>
      <c r="AH99" s="207">
        <f>INDEX($A$87:$H$100,MATCH($L99,$B$87:$B$100,0),MATCH($AA$86,$A$87:$H$87,0))*고양시_Modal_split!J$3 * 0.01</f>
        <v>9.6506916452663241</v>
      </c>
      <c r="AI99" s="207">
        <f>INDEX($A$87:$H$100,MATCH($L99,$B$87:$B$100,0),MATCH($AA$86,$A$87:$H$87,0))*고양시_Modal_split!K$3 * 0.01</f>
        <v>4.7555970656700017E-2</v>
      </c>
      <c r="AJ99" s="207">
        <f>INDEX($A$87:$H$100,MATCH($L99,$B$87:$B$100,0),MATCH($AA$86,$A$87:$H$87,0))*고양시_Modal_split!L$3 * 0.01</f>
        <v>0.95746020922156039</v>
      </c>
      <c r="AK99" s="207">
        <f>INDEX($A$87:$H$100,MATCH($L99,$B$87:$B$100,0),MATCH($AA$86,$A$87:$H$87,0))*고양시_Modal_split!M$3 * 0.01</f>
        <v>7.2919155006940017E-2</v>
      </c>
      <c r="AL99" s="207">
        <f>INDEX($A$87:$H$100,MATCH($L99,$B$87:$B$100,0),MATCH($AA$86,$A$87:$H$87,0))*고양시_Modal_split!N$3 * 0.01</f>
        <v>3.1703980437800018E-2</v>
      </c>
      <c r="AM99" s="207">
        <f>INDEX($A$87:$H$100,MATCH($L99,$B$87:$B$100,0),MATCH($AA$86,$A$87:$H$87,0))*고양시_Modal_split!O$3 * 0.01</f>
        <v>5.7067164788040019E-2</v>
      </c>
      <c r="AN99" s="207">
        <f>INDEX($A$87:$H$100,MATCH($L99,$B$87:$B$100,0),MATCH($AA$86,$A$87:$H$87,0))*고양시_Modal_split!P$3 * 0.01</f>
        <v>31.703980437800016</v>
      </c>
      <c r="AO99" s="303">
        <f>INDEX($A$87:$H$100,MATCH($L99,$B$87:$B$100,0),MATCH($AO$86,$A$87:$H$87,0))*고양시_Modal_split!C$3 * 0.01</f>
        <v>5.0925808745706166E-3</v>
      </c>
      <c r="AP99" s="303">
        <f>INDEX($A$87:$H$100,MATCH($L99,$B$87:$B$100,0),MATCH($AO$86,$A$87:$H$87,0))*고양시_Modal_split!D$3 * 0.01</f>
        <v>0.85537170903948623</v>
      </c>
      <c r="AQ99" s="303">
        <f>INDEX($A$87:$H$100,MATCH($L99,$B$87:$B$100,0),MATCH($AO$86,$A$87:$H$87,0))*고양시_Modal_split!E$3 * 0.01</f>
        <v>0.10348851848681005</v>
      </c>
      <c r="AR99" s="303">
        <f>INDEX($A$87:$H$100,MATCH($L99,$B$87:$B$100,0),MATCH($AO$86,$A$87:$H$87,0))*고양시_Modal_split!F$3 * 0.01</f>
        <v>0.16678202364218772</v>
      </c>
      <c r="AS99" s="303">
        <f>INDEX($A$87:$H$100,MATCH($L99,$B$87:$B$100,0),MATCH($AO$86,$A$87:$H$87,0))*고양시_Modal_split!G$3 * 0.01</f>
        <v>1.6732765730732031E-2</v>
      </c>
      <c r="AT99" s="303">
        <f>INDEX($A$87:$H$100,MATCH($L99,$B$87:$B$100,0),MATCH($AO$86,$A$87:$H$87,0))*고양시_Modal_split!H$3 * 0.01</f>
        <v>1.8187788837752209E-4</v>
      </c>
      <c r="AU99" s="303">
        <f>INDEX($A$87:$H$100,MATCH($L99,$B$87:$B$100,0),MATCH($AO$86,$A$87:$H$87,0))*고양시_Modal_split!I$3 * 0.01</f>
        <v>5.0562052968951131E-2</v>
      </c>
      <c r="AV99" s="303">
        <f>INDEX($A$87:$H$100,MATCH($L99,$B$87:$B$100,0),MATCH($AO$86,$A$87:$H$87,0))*고양시_Modal_split!J$3 * 0.01</f>
        <v>0.55363629222117716</v>
      </c>
      <c r="AW99" s="303">
        <f>INDEX($A$87:$H$100,MATCH($L99,$B$87:$B$100,0),MATCH($AO$86,$A$87:$H$87,0))*고양시_Modal_split!K$3 * 0.01</f>
        <v>2.7281683256628309E-3</v>
      </c>
      <c r="AX99" s="303">
        <f>INDEX($A$87:$H$100,MATCH($L99,$B$87:$B$100,0),MATCH($AO$86,$A$87:$H$87,0))*고양시_Modal_split!L$3 * 0.01</f>
        <v>5.4927122290011669E-2</v>
      </c>
      <c r="AY99" s="303">
        <f>INDEX($A$87:$H$100,MATCH($L99,$B$87:$B$100,0),MATCH($AO$86,$A$87:$H$87,0))*고양시_Modal_split!M$3 * 0.01</f>
        <v>4.1831914326830076E-3</v>
      </c>
      <c r="AZ99" s="303">
        <f>INDEX($A$87:$H$100,MATCH($L99,$B$87:$B$100,0),MATCH($AO$86,$A$87:$H$87,0))*고양시_Modal_split!N$3 * 0.01</f>
        <v>1.8187788837752206E-3</v>
      </c>
      <c r="BA99" s="207">
        <f>INDEX($A$87:$H$100,MATCH($L99,$B$87:$B$100,0),MATCH($AO$86,$A$87:$H$87,0))*고양시_Modal_split!O$3 * 0.01</f>
        <v>3.2738019907953969E-3</v>
      </c>
      <c r="BB99" s="207">
        <f>INDEX($A$87:$H$100,MATCH($L99,$B$87:$B$100,0),MATCH($AO$86,$A$87:$H$87,0))*고양시_Modal_split!P$3 * 0.01</f>
        <v>1.8187788837752206</v>
      </c>
      <c r="BC99" s="207">
        <f>INDEX($A$87:$H$100,MATCH($L99,$B$87:$B$100,0),MATCH($BC$86,$A$87:$H$87,0))*고양시_Modal_split!C$3 * 0.01</f>
        <v>8.0030081842387747E-6</v>
      </c>
      <c r="BD99" s="207">
        <f>INDEX($A$87:$H$100,MATCH($L99,$B$87:$B$100,0),MATCH($BC$86,$A$87:$H$87,0))*고양시_Modal_split!D$3 * 0.01</f>
        <v>1.3442195532312488E-3</v>
      </c>
      <c r="BE99" s="207">
        <f>INDEX($A$87:$H$100,MATCH($L99,$B$87:$B$100,0),MATCH($BC$86,$A$87:$H$87,0))*고양시_Modal_split!E$3 * 0.01</f>
        <v>1.6263255917256652E-4</v>
      </c>
      <c r="BF99" s="207">
        <f>INDEX($A$87:$H$100,MATCH($L99,$B$87:$B$100,0),MATCH($BC$86,$A$87:$H$87,0))*고양시_Modal_split!F$3 * 0.01</f>
        <v>2.6209851803381994E-4</v>
      </c>
      <c r="BG99" s="207">
        <f>INDEX($A$87:$H$100,MATCH($L99,$B$87:$B$100,0),MATCH($BC$86,$A$87:$H$87,0))*고양시_Modal_split!G$3 * 0.01</f>
        <v>2.629559831964169E-5</v>
      </c>
      <c r="BH99" s="207">
        <f>INDEX($A$87:$H$100,MATCH($L99,$B$87:$B$100,0),MATCH($BC$86,$A$87:$H$87,0))*고양시_Modal_split!H$3 * 0.01</f>
        <v>2.8582172086567058E-7</v>
      </c>
      <c r="BI99" s="207">
        <f>INDEX($A$87:$H$100,MATCH($L99,$B$87:$B$100,0),MATCH($BC$86,$A$87:$H$87,0))*고양시_Modal_split!I$3 * 0.01</f>
        <v>7.9458438400656418E-5</v>
      </c>
      <c r="BJ99" s="207">
        <f>INDEX($A$87:$H$100,MATCH($L99,$B$87:$B$100,0),MATCH($BC$86,$A$87:$H$87,0))*고양시_Modal_split!J$3 * 0.01</f>
        <v>8.7004131831510127E-4</v>
      </c>
      <c r="BK99" s="207">
        <f>INDEX($A$87:$H$100,MATCH($L99,$B$87:$B$100,0),MATCH($BC$86,$A$87:$H$87,0))*고양시_Modal_split!K$3 * 0.01</f>
        <v>4.2873258129850583E-6</v>
      </c>
      <c r="BL99" s="207">
        <f>INDEX($A$87:$H$100,MATCH($L99,$B$87:$B$100,0),MATCH($BC$86,$A$87:$H$87,0))*고양시_Modal_split!L$3 * 0.01</f>
        <v>8.6318159701432521E-5</v>
      </c>
      <c r="BM99" s="207">
        <f>INDEX($A$87:$H$100,MATCH($L99,$B$87:$B$100,0),MATCH($BC$86,$A$87:$H$87,0))*고양시_Modal_split!M$3 * 0.01</f>
        <v>6.5738995799104225E-6</v>
      </c>
      <c r="BN99" s="207">
        <f>INDEX($A$87:$H$100,MATCH($L99,$B$87:$B$100,0),MATCH($BC$86,$A$87:$H$87,0))*고양시_Modal_split!N$3 * 0.01</f>
        <v>2.8582172086567061E-6</v>
      </c>
      <c r="BO99" s="207">
        <f>INDEX($A$87:$H$100,MATCH($L99,$B$87:$B$100,0),MATCH($BC$86,$A$87:$H$87,0))*고양시_Modal_split!O$3 * 0.01</f>
        <v>5.1447909755820703E-6</v>
      </c>
      <c r="BP99" s="207">
        <f>INDEX($A$87:$H$100,MATCH($L99,$B$87:$B$100,0),MATCH($BC$86,$A$87:$H$87,0))*고양시_Modal_split!P$3 * 0.01</f>
        <v>2.8582172086567058E-3</v>
      </c>
      <c r="BQ99" s="207">
        <f>INDEX($A$87:$H$100,MATCH($L99,$B$87:$B$100,0),MATCH($BQ$86,$A$87:$H$87,0))*고양시_Modal_split!C$3 * 0.01</f>
        <v>3.0233586473791043E-5</v>
      </c>
      <c r="BR99" s="207">
        <f>INDEX($A$87:$H$100,MATCH($L99,$B$87:$B$100,0),MATCH($BQ$86,$A$87:$H$87,0))*고양시_Modal_split!D$3 * 0.01</f>
        <v>5.0781627566514036E-3</v>
      </c>
      <c r="BS99" s="207">
        <f>INDEX($A$87:$H$100,MATCH($L99,$B$87:$B$100,0),MATCH($BQ$86,$A$87:$H$87,0))*고양시_Modal_split!E$3 * 0.01</f>
        <v>6.1438966798525361E-4</v>
      </c>
      <c r="BT99" s="207">
        <f>INDEX($A$87:$H$100,MATCH($L99,$B$87:$B$100,0),MATCH($BQ$86,$A$87:$H$87,0))*고양시_Modal_split!F$3 * 0.01</f>
        <v>9.9014995701665674E-4</v>
      </c>
      <c r="BU99" s="207">
        <f>INDEX($A$87:$H$100,MATCH($L99,$B$87:$B$100,0),MATCH($BQ$86,$A$87:$H$87,0))*고양시_Modal_split!G$3 * 0.01</f>
        <v>9.9338926985313424E-5</v>
      </c>
      <c r="BV99" s="207">
        <f>INDEX($A$87:$H$100,MATCH($L99,$B$87:$B$100,0),MATCH($BQ$86,$A$87:$H$87,0))*고양시_Modal_split!H$3 * 0.01</f>
        <v>1.0797709454925371E-6</v>
      </c>
      <c r="BW99" s="207">
        <f>INDEX($A$87:$H$100,MATCH($L99,$B$87:$B$100,0),MATCH($BQ$86,$A$87:$H$87,0))*고양시_Modal_split!I$3 * 0.01</f>
        <v>3.0017632284692533E-4</v>
      </c>
      <c r="BX99" s="207">
        <f>INDEX($A$87:$H$100,MATCH($L99,$B$87:$B$100,0),MATCH($BQ$86,$A$87:$H$87,0))*고양시_Modal_split!J$3 * 0.01</f>
        <v>3.2868227580792838E-3</v>
      </c>
      <c r="BY99" s="207">
        <f>INDEX($A$87:$H$100,MATCH($L99,$B$87:$B$100,0),MATCH($BQ$86,$A$87:$H$87,0))*고양시_Modal_split!K$3 * 0.01</f>
        <v>1.6196564182388059E-5</v>
      </c>
      <c r="BZ99" s="207">
        <f>INDEX($A$87:$H$100,MATCH($L99,$B$87:$B$100,0),MATCH($BQ$86,$A$87:$H$87,0))*고양시_Modal_split!L$3 * 0.01</f>
        <v>3.2609082553874627E-4</v>
      </c>
      <c r="CA99" s="207">
        <f>INDEX($A$87:$H$100,MATCH($L99,$B$87:$B$100,0),MATCH($BQ$86,$A$87:$H$87,0))*고양시_Modal_split!M$3 * 0.01</f>
        <v>2.4834731746328356E-5</v>
      </c>
      <c r="CB99" s="207">
        <f>INDEX($A$87:$H$100,MATCH($L99,$B$87:$B$100,0),MATCH($BQ$86,$A$87:$H$87,0))*고양시_Modal_split!N$3 * 0.01</f>
        <v>1.0797709454925373E-5</v>
      </c>
      <c r="CC99" s="207">
        <f>INDEX($A$87:$H$100,MATCH($L99,$B$87:$B$100,0),MATCH($BQ$86,$A$87:$H$87,0))*고양시_Modal_split!O$3 * 0.01</f>
        <v>1.9435877018865668E-5</v>
      </c>
      <c r="CD99" s="207">
        <f>INDEX($A$87:$H$100,MATCH($L99,$B$87:$B$100,0),MATCH($BQ$86,$A$87:$H$87,0))*고양시_Modal_split!P$3 * 0.01</f>
        <v>1.0797709454925372E-2</v>
      </c>
      <c r="CE99" s="304">
        <f t="shared" si="69"/>
        <v>0.10616790657211202</v>
      </c>
      <c r="CF99" s="304">
        <f t="shared" si="51"/>
        <v>17.832416593165814</v>
      </c>
      <c r="CG99" s="304">
        <f t="shared" si="52"/>
        <v>2.157483529983276</v>
      </c>
      <c r="CH99" s="304">
        <f t="shared" si="53"/>
        <v>3.476998940236669</v>
      </c>
      <c r="CI99" s="304">
        <f t="shared" si="54"/>
        <v>0.34883740730836799</v>
      </c>
      <c r="CJ99" s="304">
        <f t="shared" si="55"/>
        <v>3.791710949004001E-3</v>
      </c>
      <c r="CK99" s="304">
        <f t="shared" si="56"/>
        <v>1.0540956438231124</v>
      </c>
      <c r="CL99" s="304">
        <f t="shared" si="57"/>
        <v>11.541968128768179</v>
      </c>
      <c r="CM99" s="304">
        <f t="shared" si="58"/>
        <v>5.6875664235060013E-2</v>
      </c>
      <c r="CN99" s="304">
        <f t="shared" si="59"/>
        <v>1.1450967065992081</v>
      </c>
      <c r="CO99" s="304">
        <f t="shared" si="60"/>
        <v>8.7209351827091997E-2</v>
      </c>
      <c r="CP99" s="304">
        <f t="shared" si="61"/>
        <v>3.7917109490040006E-2</v>
      </c>
      <c r="CQ99" s="304">
        <f t="shared" si="62"/>
        <v>6.8250797082072004E-2</v>
      </c>
      <c r="CR99" s="304">
        <f t="shared" si="63"/>
        <v>37.917109490040012</v>
      </c>
      <c r="CS99" s="305">
        <f t="shared" si="70"/>
        <v>0</v>
      </c>
      <c r="CV99" s="267" t="s">
        <v>171</v>
      </c>
      <c r="CW99" s="267" t="s">
        <v>171</v>
      </c>
      <c r="CX99" s="267">
        <f>INDEX($M$86:$Z$100,MATCH($CW99,$L$86:$L$100,0),MATCH(CX$87,$M$87:$Z$87,0))/INDEX(고양시_재차인원!$D$4:$H$35,MATCH("고양시",고양시_재차인원!$B$4:$B$35,0),MATCH($CX$86,고양시_재차인원!$D$4:$H$4,0))</f>
        <v>1.8395004481420534</v>
      </c>
      <c r="CY99" s="267">
        <f>INDEX($M$86:$Z$100,MATCH($CW99,$L$86:$L$100,0),MATCH(CY$87,$M$87:$Z$87,0))/INDEX(고양시_재차인원!$K$4:$O$20,MATCH("경기도",고양시_재차인원!$K$4:$K$20,0),MATCH($CY$87,고양시_재차인원!$K$4:$O$4,0))</f>
        <v>1.5216027237933974E-5</v>
      </c>
      <c r="CZ99" s="267">
        <f>INDEX($M$86:$Z$100,MATCH($CW99,$L$86:$L$100,0),MATCH(CZ$87,$M$87:$Z$87,0))/INDEX(고양시_재차인원!$K$4:$O$20,MATCH("경기도",고양시_재차인원!$K$4:$K$20,0),MATCH($CZ$87,고양시_재차인원!$K$4:$O$4,0))</f>
        <v>4.2300555721456442E-3</v>
      </c>
      <c r="DA99" s="267">
        <f>INDEX($M$86:$Z$100,MATCH($CW99,$L$86:$L$100,0),MATCH(DA$87,$M$87:$Z$87,0))/INDEX(고양시_재차인원!$D$4:$H$35,MATCH("고양시",고양시_재차인원!$B$4:$B$35,0),MATCH($CX$86,고양시_재차인원!$D$4:$H$4,0))</f>
        <v>0.11812229116285353</v>
      </c>
      <c r="DB99" s="267">
        <f>INDEX($AA$86:$AN$100,MATCH($CW99,$L$86:$L$100,0),MATCH(DB$87,$AA$87:$AN$87,0))/INDEX(고양시_재차인원!$D$4:$H$35,MATCH("고양시",고양시_재차인원!$B$4:$B$35,0),MATCH($DB$86,고양시_재차인원!$D$4:$H$4,0))</f>
        <v>10.574739007019396</v>
      </c>
      <c r="DC99" s="267">
        <f>INDEX($AA$86:$AN$100,MATCH($CW99,$L$86:$L$100,0),MATCH(DC$87,$AA$87:$AN$87,0))/INDEX(고양시_재차인원!$K$4:$O$20,MATCH("경기도",고양시_재차인원!$K$4:$K$20,0),MATCH(DC$87,고양시_재차인원!$K$4:$O$4,0))</f>
        <v>1.1012150204168119E-4</v>
      </c>
      <c r="DD99" s="267">
        <f>INDEX($AA$86:$AN$100,MATCH($CW99,$L$86:$L$100,0),MATCH(DD$87,$AA$87:$AN$87,0))/INDEX(고양시_재차인원!$K$4:$O$20,MATCH("경기도",고양시_재차인원!$K$4:$K$20,0),MATCH(DD$87,고양시_재차인원!$K$4:$O$4,0))</f>
        <v>3.0613777567587368E-2</v>
      </c>
      <c r="DE99" s="267">
        <f>INDEX($AA$86:$AN$100,MATCH($CW99,$L$86:$L$100,0),MATCH(DE$87,$AA$87:$AN$87,0))/INDEX(고양시_재차인원!$D$4:$H$35,MATCH("고양시",고양시_재차인원!$B$4:$B$35,0),MATCH($DB$86,고양시_재차인원!$D$4:$H$4,0))</f>
        <v>0.67904979377415631</v>
      </c>
      <c r="DF99" s="267">
        <f>INDEX($AO$86:$BB$100,MATCH($CW99,$L$86:$L$100,0),MATCH(DF$87,$AO$87:$BB$87,0))/INDEX(고양시_재차인원!$D$4:$H$35,MATCH("고양시",고양시_재차인원!$B$4:$B$35,0),MATCH($DF$86,고양시_재차인원!$D$4:$H$4,0))</f>
        <v>0.65797823772268171</v>
      </c>
      <c r="DG99" s="267">
        <f>INDEX($AO$86:$BB$100,MATCH($CW99,$L$86:$L$100,0),MATCH(DG$87,$AO$87:$BB$87,0))/INDEX(고양시_재차인원!$K$4:$O$20,MATCH("경기도",고양시_재차인원!$K$4:$K$20,0),MATCH(DG$87,고양시_재차인원!$K$4:$O$4,0))</f>
        <v>6.3173979985245603E-6</v>
      </c>
      <c r="DH99" s="267">
        <f>INDEX($AO$86:$BB$100,MATCH($CW99,$L$86:$L$100,0),MATCH(DH$87,$AO$87:$BB$87,0))/INDEX(고양시_재차인원!$K$4:$O$20,MATCH("경기도",고양시_재차인원!$K$4:$K$20,0),MATCH(DH$87,고양시_재차인원!$K$4:$O$4,0))</f>
        <v>1.7562366435898275E-3</v>
      </c>
      <c r="DI99" s="267">
        <f>INDEX($AO$86:$BB$100,MATCH($CW99,$L$86:$L$100,0),MATCH(DI$87,$AO$87:$BB$87,0))/INDEX(고양시_재차인원!$D$4:$H$35,MATCH("고양시",고양시_재차인원!$B$4:$B$35,0),MATCH($DF$86,고양시_재차인원!$D$4:$H$4,0))</f>
        <v>4.2251632530778203E-2</v>
      </c>
      <c r="DJ99" s="267">
        <f>INDEX($BC$86:$BP$100,MATCH($CW99,$L$86:$L$100,0),MATCH(DJ$87,$BC$87:$BP$87,0))/INDEX(고양시_재차인원!$D$4:$H$35,MATCH("고양시",고양시_재차인원!$B$4:$B$35,0),MATCH($DJ$86,고양시_재차인원!$D$4:$H$4,0))</f>
        <v>9.8839673031709467E-4</v>
      </c>
      <c r="DK99" s="267">
        <f>INDEX($BC$86:$BP$100,MATCH($CW99,$L$86:$L$100,0),MATCH(DK$87,$BC$87:$BP$87,0))/INDEX(고양시_재차인원!$K$4:$O$20,MATCH("경기도",고양시_재차인원!$K$4:$K$20,0),MATCH(DK$87,고양시_재차인원!$K$4:$O$4,0))</f>
        <v>9.9278124649416664E-9</v>
      </c>
      <c r="DL99" s="267">
        <f>INDEX($BC$86:$BP$100,MATCH($CW99,$L$86:$L$100,0),MATCH(DL$87,$BC$87:$BP$87,0))/INDEX(고양시_재차인원!$K$4:$O$20,MATCH("경기도",고양시_재차인원!$K$4:$K$20,0),MATCH(DL$87,고양시_재차인원!$K$4:$O$4,0))</f>
        <v>2.7599318652537833E-6</v>
      </c>
      <c r="DM99" s="267">
        <f>INDEX($BC$86:$BP$100,MATCH($CW99,$L$86:$L$100,0),MATCH(DM$87,$BC$87:$BP$87,0))/INDEX(고양시_재차인원!$D$4:$H$35,MATCH("고양시",고양시_재차인원!$B$4:$B$35,0),MATCH($DJ$86,고양시_재차인원!$D$4:$H$4,0))</f>
        <v>6.3469235074582736E-5</v>
      </c>
      <c r="DN99" s="267">
        <f>INDEX($BQ$86:$CD$100,MATCH($CW99,$L$86:$L$100,0),MATCH(DN$87,$BQ$87:$CD$87,0))/INDEX(고양시_재차인원!$D$4:$H$35,MATCH("고양시",고양시_재차인원!$B$4:$B$35,0),MATCH($DN$86,고양시_재차인원!$D$4:$H$4,0))</f>
        <v>4.0302879021042884E-3</v>
      </c>
      <c r="DO99" s="267">
        <f>INDEX($BQ$86:$CD$100,MATCH($CW99,$L$86:$L$100,0),MATCH(DO$87,$BQ$87:$CD$87,0))/INDEX(고양시_재차인원!$K$4:$O$20,MATCH("경기도",고양시_재차인원!$K$4:$K$20,0),MATCH(DO$87,고양시_재차인원!$K$4:$O$4,0))</f>
        <v>3.7505069312001988E-8</v>
      </c>
      <c r="DP99" s="267">
        <f>INDEX($BQ$86:$CD$100,MATCH($CW99,$L$86:$L$100,0),MATCH(DP$87,$BQ$87:$CD$87,0))/INDEX(고양시_재차인원!$K$4:$O$20,MATCH("경기도",고양시_재차인원!$K$4:$K$20,0),MATCH(DP$87,고양시_재차인원!$K$4:$O$4,0))</f>
        <v>1.0426409268736553E-5</v>
      </c>
      <c r="DQ99" s="267">
        <f>INDEX($BQ$86:$CD$100,MATCH($CW99,$L$86:$L$100,0),MATCH(DQ$87,$BQ$87:$CD$87,0))/INDEX(고양시_재차인원!$D$4:$H$35,MATCH("고양시",고양시_재차인원!$B$4:$B$35,0),MATCH($DN$86,고양시_재차인원!$D$4:$H$4,0))</f>
        <v>2.5880224249106844E-4</v>
      </c>
      <c r="DR99" s="270">
        <f t="shared" si="71"/>
        <v>13.077236377516554</v>
      </c>
      <c r="DS99" s="270">
        <f t="shared" si="64"/>
        <v>1.3170236015991665E-4</v>
      </c>
      <c r="DT99" s="270">
        <f t="shared" si="65"/>
        <v>3.6613256124456837E-2</v>
      </c>
      <c r="DU99" s="270">
        <f t="shared" si="66"/>
        <v>0.83974598894535379</v>
      </c>
      <c r="DW99" s="278" t="s">
        <v>171</v>
      </c>
      <c r="DX99" s="278" t="s">
        <v>171</v>
      </c>
      <c r="DY99" s="281">
        <f t="shared" si="72"/>
        <v>13.916982366461909</v>
      </c>
      <c r="DZ99" s="281">
        <f t="shared" si="73"/>
        <v>3.6744958484616751E-2</v>
      </c>
      <c r="EB99" s="278" t="s">
        <v>26</v>
      </c>
      <c r="EC99" s="278" t="s">
        <v>26</v>
      </c>
      <c r="ED99" s="281">
        <f t="shared" si="81"/>
        <v>5987.6037946088145</v>
      </c>
      <c r="EE99" s="281">
        <f t="shared" si="80"/>
        <v>15.809048762283403</v>
      </c>
      <c r="EK99" s="420" t="s">
        <v>47</v>
      </c>
      <c r="EL99" s="420" t="s">
        <v>47</v>
      </c>
      <c r="EM99" s="420" t="s">
        <v>573</v>
      </c>
      <c r="EN99" s="420">
        <v>2252.9902000000002</v>
      </c>
      <c r="EO99" s="420">
        <v>0.23602173772802626</v>
      </c>
      <c r="EP99" s="421">
        <v>849012</v>
      </c>
      <c r="EQ99" s="422">
        <f t="shared" si="75"/>
        <v>59.878793320335049</v>
      </c>
      <c r="ER99" s="422">
        <f t="shared" si="76"/>
        <v>0.15809776262754743</v>
      </c>
      <c r="ES99">
        <v>0</v>
      </c>
      <c r="EU99" s="306" t="s">
        <v>47</v>
      </c>
      <c r="EV99" s="306" t="s">
        <v>47</v>
      </c>
      <c r="EW99" s="306" t="s">
        <v>573</v>
      </c>
      <c r="EX99" s="306">
        <v>2252.9902000000002</v>
      </c>
      <c r="EY99" s="306">
        <v>0.23602173772802626</v>
      </c>
      <c r="EZ99" s="307">
        <v>849012</v>
      </c>
      <c r="FA99" s="308">
        <f t="shared" si="77"/>
        <v>59.878793320335049</v>
      </c>
      <c r="FB99" s="308">
        <f t="shared" si="68"/>
        <v>0.15809776262754743</v>
      </c>
      <c r="FD99" s="101"/>
      <c r="FE99" s="101"/>
      <c r="FF99" s="101"/>
      <c r="FG99" s="101"/>
      <c r="FH99" s="101"/>
      <c r="FI99" s="374"/>
      <c r="FJ99" s="404"/>
      <c r="FK99" s="404"/>
    </row>
    <row r="100" spans="1:167">
      <c r="A100" s="205" t="s">
        <v>26</v>
      </c>
      <c r="B100" s="205" t="s">
        <v>26</v>
      </c>
      <c r="C100" s="201">
        <f>$K41*KTDB_TripDistribution_2025!T$12</f>
        <v>1884.7377092637769</v>
      </c>
      <c r="D100" s="201">
        <f>$K41*KTDB_TripDistribution_2025!U$12</f>
        <v>13640.232384790712</v>
      </c>
      <c r="E100" s="201">
        <f>$K41*KTDB_TripDistribution_2025!V$12</f>
        <v>782.50636950512103</v>
      </c>
      <c r="F100" s="201">
        <f>$K41*KTDB_TripDistribution_2025!W$12</f>
        <v>1.2297114240520475</v>
      </c>
      <c r="G100" s="201">
        <f>$K41*KTDB_TripDistribution_2025!X$12</f>
        <v>4.6455764908633075</v>
      </c>
      <c r="H100" s="201">
        <f>$K41*KTDB_TripDistribution_2025!Y$12</f>
        <v>16313.351751474529</v>
      </c>
      <c r="I100" t="b">
        <f>H100=$L$41</f>
        <v>1</v>
      </c>
      <c r="J100" s="230">
        <f>CR100</f>
        <v>16313.351751474527</v>
      </c>
      <c r="K100" s="206" t="s">
        <v>26</v>
      </c>
      <c r="L100" s="206" t="s">
        <v>26</v>
      </c>
      <c r="M100" s="206">
        <f>INDEX($A$87:$H$100,MATCH($L100,$B$87:$B$100,0),MATCH($M$86,$A$87:$H$87,0))*고양시_Modal_split!C$3 * 0.01</f>
        <v>5.2772655859385749</v>
      </c>
      <c r="N100" s="206">
        <f>INDEX($A$87:$H$100,MATCH($L100,$B$87:$B$100,0),MATCH($M$86,$A$87:$H$87,0))*고양시_Modal_split!D$3 * 0.01</f>
        <v>886.39214466675435</v>
      </c>
      <c r="O100" s="206">
        <f>INDEX($A$87:$H$100,MATCH($L100,$B$87:$B$100,0),MATCH($M$86,$A$87:$H$87,0))*고양시_Modal_split!E$3 * 0.01</f>
        <v>107.2415756571089</v>
      </c>
      <c r="P100" s="206">
        <f>INDEX($A$87:$H$100,MATCH($L100,$B$87:$B$100,0),MATCH($M$86,$A$87:$H$87,0))*고양시_Modal_split!F$3 * 0.01</f>
        <v>172.83044793948832</v>
      </c>
      <c r="Q100" s="206">
        <f>INDEX($A$87:$H$100,MATCH($L100,$B$87:$B$100,0),MATCH($M$86,$A$87:$H$87,0))*고양시_Modal_split!G$3 * 0.01</f>
        <v>17.339586925226744</v>
      </c>
      <c r="R100" s="206">
        <f>INDEX($A$87:$H$100,MATCH($L100,$B$87:$B$100,0),MATCH($M$86,$A$87:$H$87,0))*고양시_Modal_split!H$3 * 0.01</f>
        <v>0.18847377092637768</v>
      </c>
      <c r="S100" s="206">
        <f>INDEX($A$87:$H$100,MATCH($L100,$B$87:$B$100,0),MATCH($M$86,$A$87:$H$87,0))*고양시_Modal_split!I$3 * 0.01</f>
        <v>52.395708317532993</v>
      </c>
      <c r="T100" s="206">
        <f>INDEX($A$87:$H$100,MATCH($L100,$B$87:$B$100,0),MATCH($M$86,$A$87:$H$87,0))*고양시_Modal_split!J$3 * 0.01</f>
        <v>573.7141586998938</v>
      </c>
      <c r="U100" s="206">
        <f>INDEX($A$87:$H$100,MATCH($L100,$B$87:$B$100,0),MATCH($M$86,$A$87:$H$87,0))*고양시_Modal_split!K$3 * 0.01</f>
        <v>2.8271065638956649</v>
      </c>
      <c r="V100" s="206">
        <f>INDEX($A$87:$H$100,MATCH($L100,$B$87:$B$100,0),MATCH($M$86,$A$87:$H$87,0))*고양시_Modal_split!L$3 * 0.01</f>
        <v>56.919078819766064</v>
      </c>
      <c r="W100" s="206">
        <f>INDEX($A$87:$H$100,MATCH($L100,$B$87:$B$100,0),MATCH($M$86,$A$87:$H$87,0))*고양시_Modal_split!M$3 * 0.01</f>
        <v>4.334896731306686</v>
      </c>
      <c r="X100" s="206">
        <f>INDEX($A$87:$H$100,MATCH($L100,$B$87:$B$100,0),MATCH($M$86,$A$87:$H$87,0))*고양시_Modal_split!N$3 * 0.01</f>
        <v>1.8847377092637772</v>
      </c>
      <c r="Y100" s="206">
        <f>INDEX($A$87:$H$100,MATCH($L100,$B$87:$B$100,0),MATCH($M$86,$A$87:$H$87,0))*고양시_Modal_split!O$3 * 0.01</f>
        <v>3.3925278766747984</v>
      </c>
      <c r="Z100" s="209">
        <f>INDEX($A$87:$H$100,MATCH($L100,$B$87:$B$100,0),MATCH($M$86,$A$87:$H$87,0))*고양시_Modal_split!P$3 * 0.01</f>
        <v>1884.7377092637769</v>
      </c>
      <c r="AA100" s="207">
        <f>INDEX($A$87:$H$100,MATCH($L100,$B$87:$B$100,0),MATCH($AA$86,$A$87:$H$87,0))*고양시_Modal_split!C$3 * 0.01</f>
        <v>38.192650677413994</v>
      </c>
      <c r="AB100" s="207">
        <f>INDEX($A$87:$H$100,MATCH($L100,$B$87:$B$100,0),MATCH($AA$86,$A$87:$H$87,0))*고양시_Modal_split!D$3 * 0.01</f>
        <v>6415.0012905670719</v>
      </c>
      <c r="AC100" s="207">
        <f>INDEX($A$87:$H$100,MATCH($L100,$B$87:$B$100,0),MATCH($AA$86,$A$87:$H$87,0))*고양시_Modal_split!E$3 * 0.01</f>
        <v>776.12922269459148</v>
      </c>
      <c r="AD100" s="207">
        <f>INDEX($A$87:$H$100,MATCH($L100,$B$87:$B$100,0),MATCH($AA$86,$A$87:$H$87,0))*고양시_Modal_split!F$3 * 0.01</f>
        <v>1250.8093096853083</v>
      </c>
      <c r="AE100" s="207">
        <f>INDEX($A$87:$H$100,MATCH($L100,$B$87:$B$100,0),MATCH($AA$86,$A$87:$H$87,0))*고양시_Modal_split!G$3 * 0.01</f>
        <v>125.49013794007455</v>
      </c>
      <c r="AF100" s="207">
        <f>INDEX($A$87:$H$100,MATCH($L100,$B$87:$B$100,0),MATCH($AA$86,$A$87:$H$87,0))*고양시_Modal_split!H$3 * 0.01</f>
        <v>1.3640232384790714</v>
      </c>
      <c r="AG100" s="207">
        <f>INDEX($A$87:$H$100,MATCH($L100,$B$87:$B$100,0),MATCH($AA$86,$A$87:$H$87,0))*고양시_Modal_split!I$3 * 0.01</f>
        <v>379.19846029718173</v>
      </c>
      <c r="AH100" s="207">
        <f>INDEX($A$87:$H$100,MATCH($L100,$B$87:$B$100,0),MATCH($AA$86,$A$87:$H$87,0))*고양시_Modal_split!J$3 * 0.01</f>
        <v>4152.0867379302927</v>
      </c>
      <c r="AI100" s="207">
        <f>INDEX($A$87:$H$100,MATCH($L100,$B$87:$B$100,0),MATCH($AA$86,$A$87:$H$87,0))*고양시_Modal_split!K$3 * 0.01</f>
        <v>20.460348577186068</v>
      </c>
      <c r="AJ100" s="207">
        <f>INDEX($A$87:$H$100,MATCH($L100,$B$87:$B$100,0),MATCH($AA$86,$A$87:$H$87,0))*고양시_Modal_split!L$3 * 0.01</f>
        <v>411.93501802067948</v>
      </c>
      <c r="AK100" s="207">
        <f>INDEX($A$87:$H$100,MATCH($L100,$B$87:$B$100,0),MATCH($AA$86,$A$87:$H$87,0))*고양시_Modal_split!M$3 * 0.01</f>
        <v>31.372534485018637</v>
      </c>
      <c r="AL100" s="207">
        <f>INDEX($A$87:$H$100,MATCH($L100,$B$87:$B$100,0),MATCH($AA$86,$A$87:$H$87,0))*고양시_Modal_split!N$3 * 0.01</f>
        <v>13.640232384790714</v>
      </c>
      <c r="AM100" s="207">
        <f>INDEX($A$87:$H$100,MATCH($L100,$B$87:$B$100,0),MATCH($AA$86,$A$87:$H$87,0))*고양시_Modal_split!O$3 * 0.01</f>
        <v>24.55241829262328</v>
      </c>
      <c r="AN100" s="207">
        <f>INDEX($A$87:$H$100,MATCH($L100,$B$87:$B$100,0),MATCH($AA$86,$A$87:$H$87,0))*고양시_Modal_split!P$3 * 0.01</f>
        <v>13640.232384790714</v>
      </c>
      <c r="AO100" s="303">
        <f>INDEX($A$87:$H$100,MATCH($L100,$B$87:$B$100,0),MATCH($AO$86,$A$87:$H$87,0))*고양시_Modal_split!C$3 * 0.01</f>
        <v>2.1910178346143385</v>
      </c>
      <c r="AP100" s="303">
        <f>INDEX($A$87:$H$100,MATCH($L100,$B$87:$B$100,0),MATCH($AO$86,$A$87:$H$87,0))*고양시_Modal_split!D$3 * 0.01</f>
        <v>368.01274557825843</v>
      </c>
      <c r="AQ100" s="303">
        <f>INDEX($A$87:$H$100,MATCH($L100,$B$87:$B$100,0),MATCH($AO$86,$A$87:$H$87,0))*고양시_Modal_split!E$3 * 0.01</f>
        <v>44.524612424841379</v>
      </c>
      <c r="AR100" s="303">
        <f>INDEX($A$87:$H$100,MATCH($L100,$B$87:$B$100,0),MATCH($AO$86,$A$87:$H$87,0))*고양시_Modal_split!F$3 * 0.01</f>
        <v>71.755834083619604</v>
      </c>
      <c r="AS100" s="303">
        <f>INDEX($A$87:$H$100,MATCH($L100,$B$87:$B$100,0),MATCH($AO$86,$A$87:$H$87,0))*고양시_Modal_split!G$3 * 0.01</f>
        <v>7.1990585994471132</v>
      </c>
      <c r="AT100" s="303">
        <f>INDEX($A$87:$H$100,MATCH($L100,$B$87:$B$100,0),MATCH($AO$86,$A$87:$H$87,0))*고양시_Modal_split!H$3 * 0.01</f>
        <v>7.8250636950512112E-2</v>
      </c>
      <c r="AU100" s="303">
        <f>INDEX($A$87:$H$100,MATCH($L100,$B$87:$B$100,0),MATCH($AO$86,$A$87:$H$87,0))*고양시_Modal_split!I$3 * 0.01</f>
        <v>21.753677072242365</v>
      </c>
      <c r="AV100" s="303">
        <f>INDEX($A$87:$H$100,MATCH($L100,$B$87:$B$100,0),MATCH($AO$86,$A$87:$H$87,0))*고양시_Modal_split!J$3 * 0.01</f>
        <v>238.19493887735885</v>
      </c>
      <c r="AW100" s="303">
        <f>INDEX($A$87:$H$100,MATCH($L100,$B$87:$B$100,0),MATCH($AO$86,$A$87:$H$87,0))*고양시_Modal_split!K$3 * 0.01</f>
        <v>1.1737595542576815</v>
      </c>
      <c r="AX100" s="303">
        <f>INDEX($A$87:$H$100,MATCH($L100,$B$87:$B$100,0),MATCH($AO$86,$A$87:$H$87,0))*고양시_Modal_split!L$3 * 0.01</f>
        <v>23.631692359054654</v>
      </c>
      <c r="AY100" s="303">
        <f>INDEX($A$87:$H$100,MATCH($L100,$B$87:$B$100,0),MATCH($AO$86,$A$87:$H$87,0))*고양시_Modal_split!M$3 * 0.01</f>
        <v>1.7997646498617783</v>
      </c>
      <c r="AZ100" s="303">
        <f>INDEX($A$87:$H$100,MATCH($L100,$B$87:$B$100,0),MATCH($AO$86,$A$87:$H$87,0))*고양시_Modal_split!N$3 * 0.01</f>
        <v>0.78250636950512109</v>
      </c>
      <c r="BA100" s="207">
        <f>INDEX($A$87:$H$100,MATCH($L100,$B$87:$B$100,0),MATCH($AO$86,$A$87:$H$87,0))*고양시_Modal_split!O$3 * 0.01</f>
        <v>1.4085114651092179</v>
      </c>
      <c r="BB100" s="207">
        <f>INDEX($A$87:$H$100,MATCH($L100,$B$87:$B$100,0),MATCH($AO$86,$A$87:$H$87,0))*고양시_Modal_split!P$3 * 0.01</f>
        <v>782.50636950512103</v>
      </c>
      <c r="BC100" s="207">
        <f>INDEX($A$87:$H$100,MATCH($L100,$B$87:$B$100,0),MATCH($BC$86,$A$87:$H$87,0))*고양시_Modal_split!C$3 * 0.01</f>
        <v>3.4431919873457329E-3</v>
      </c>
      <c r="BD100" s="207">
        <f>INDEX($A$87:$H$100,MATCH($L100,$B$87:$B$100,0),MATCH($BC$86,$A$87:$H$87,0))*고양시_Modal_split!D$3 * 0.01</f>
        <v>0.57833328273167794</v>
      </c>
      <c r="BE100" s="207">
        <f>INDEX($A$87:$H$100,MATCH($L100,$B$87:$B$100,0),MATCH($BC$86,$A$87:$H$87,0))*고양시_Modal_split!E$3 * 0.01</f>
        <v>6.9970580028561491E-2</v>
      </c>
      <c r="BF100" s="207">
        <f>INDEX($A$87:$H$100,MATCH($L100,$B$87:$B$100,0),MATCH($BC$86,$A$87:$H$87,0))*고양시_Modal_split!F$3 * 0.01</f>
        <v>0.11276453758557275</v>
      </c>
      <c r="BG100" s="207">
        <f>INDEX($A$87:$H$100,MATCH($L100,$B$87:$B$100,0),MATCH($BC$86,$A$87:$H$87,0))*고양시_Modal_split!G$3 * 0.01</f>
        <v>1.1313345101278835E-2</v>
      </c>
      <c r="BH100" s="207">
        <f>INDEX($A$87:$H$100,MATCH($L100,$B$87:$B$100,0),MATCH($BC$86,$A$87:$H$87,0))*고양시_Modal_split!H$3 * 0.01</f>
        <v>1.2297114240520475E-4</v>
      </c>
      <c r="BI100" s="207">
        <f>INDEX($A$87:$H$100,MATCH($L100,$B$87:$B$100,0),MATCH($BC$86,$A$87:$H$87,0))*고양시_Modal_split!I$3 * 0.01</f>
        <v>3.4185977588646915E-2</v>
      </c>
      <c r="BJ100" s="207">
        <f>INDEX($A$87:$H$100,MATCH($L100,$B$87:$B$100,0),MATCH($BC$86,$A$87:$H$87,0))*고양시_Modal_split!J$3 * 0.01</f>
        <v>0.37432415748144332</v>
      </c>
      <c r="BK100" s="207">
        <f>INDEX($A$87:$H$100,MATCH($L100,$B$87:$B$100,0),MATCH($BC$86,$A$87:$H$87,0))*고양시_Modal_split!K$3 * 0.01</f>
        <v>1.844567136078071E-3</v>
      </c>
      <c r="BL100" s="207">
        <f>INDEX($A$87:$H$100,MATCH($L100,$B$87:$B$100,0),MATCH($BC$86,$A$87:$H$87,0))*고양시_Modal_split!L$3 * 0.01</f>
        <v>3.7137285006371833E-2</v>
      </c>
      <c r="BM100" s="207">
        <f>INDEX($A$87:$H$100,MATCH($L100,$B$87:$B$100,0),MATCH($BC$86,$A$87:$H$87,0))*고양시_Modal_split!M$3 * 0.01</f>
        <v>2.8283362753197087E-3</v>
      </c>
      <c r="BN100" s="207">
        <f>INDEX($A$87:$H$100,MATCH($L100,$B$87:$B$100,0),MATCH($BC$86,$A$87:$H$87,0))*고양시_Modal_split!N$3 * 0.01</f>
        <v>1.2297114240520475E-3</v>
      </c>
      <c r="BO100" s="207">
        <f>INDEX($A$87:$H$100,MATCH($L100,$B$87:$B$100,0),MATCH($BC$86,$A$87:$H$87,0))*고양시_Modal_split!O$3 * 0.01</f>
        <v>2.2134805632936854E-3</v>
      </c>
      <c r="BP100" s="207">
        <f>INDEX($A$87:$H$100,MATCH($L100,$B$87:$B$100,0),MATCH($BC$86,$A$87:$H$87,0))*고양시_Modal_split!P$3 * 0.01</f>
        <v>1.2297114240520475</v>
      </c>
      <c r="BQ100" s="207">
        <f>INDEX($A$87:$H$100,MATCH($L100,$B$87:$B$100,0),MATCH($BQ$86,$A$87:$H$87,0))*고양시_Modal_split!C$3 * 0.01</f>
        <v>1.3007614174417259E-2</v>
      </c>
      <c r="BR100" s="207">
        <f>INDEX($A$87:$H$100,MATCH($L100,$B$87:$B$100,0),MATCH($BQ$86,$A$87:$H$87,0))*고양시_Modal_split!D$3 * 0.01</f>
        <v>2.1848146236530135</v>
      </c>
      <c r="BS100" s="207">
        <f>INDEX($A$87:$H$100,MATCH($L100,$B$87:$B$100,0),MATCH($BQ$86,$A$87:$H$87,0))*고양시_Modal_split!E$3 * 0.01</f>
        <v>0.2643333023301222</v>
      </c>
      <c r="BT100" s="207">
        <f>INDEX($A$87:$H$100,MATCH($L100,$B$87:$B$100,0),MATCH($BQ$86,$A$87:$H$87,0))*고양시_Modal_split!F$3 * 0.01</f>
        <v>0.42599936421216528</v>
      </c>
      <c r="BU100" s="207">
        <f>INDEX($A$87:$H$100,MATCH($L100,$B$87:$B$100,0),MATCH($BQ$86,$A$87:$H$87,0))*고양시_Modal_split!G$3 * 0.01</f>
        <v>4.2739303715942423E-2</v>
      </c>
      <c r="BV100" s="207">
        <f>INDEX($A$87:$H$100,MATCH($L100,$B$87:$B$100,0),MATCH($BQ$86,$A$87:$H$87,0))*고양시_Modal_split!H$3 * 0.01</f>
        <v>4.6455764908633074E-4</v>
      </c>
      <c r="BW100" s="207">
        <f>INDEX($A$87:$H$100,MATCH($L100,$B$87:$B$100,0),MATCH($BQ$86,$A$87:$H$87,0))*고양시_Modal_split!I$3 * 0.01</f>
        <v>0.12914702644599993</v>
      </c>
      <c r="BX100" s="207">
        <f>INDEX($A$87:$H$100,MATCH($L100,$B$87:$B$100,0),MATCH($BQ$86,$A$87:$H$87,0))*고양시_Modal_split!J$3 * 0.01</f>
        <v>1.414113483818791</v>
      </c>
      <c r="BY100" s="207">
        <f>INDEX($A$87:$H$100,MATCH($L100,$B$87:$B$100,0),MATCH($BQ$86,$A$87:$H$87,0))*고양시_Modal_split!K$3 * 0.01</f>
        <v>6.9683647362949611E-3</v>
      </c>
      <c r="BZ100" s="207">
        <f>INDEX($A$87:$H$100,MATCH($L100,$B$87:$B$100,0),MATCH($BQ$86,$A$87:$H$87,0))*고양시_Modal_split!L$3 * 0.01</f>
        <v>0.14029641002407189</v>
      </c>
      <c r="CA100" s="207">
        <f>INDEX($A$87:$H$100,MATCH($L100,$B$87:$B$100,0),MATCH($BQ$86,$A$87:$H$87,0))*고양시_Modal_split!M$3 * 0.01</f>
        <v>1.0684825928985606E-2</v>
      </c>
      <c r="CB100" s="207">
        <f>INDEX($A$87:$H$100,MATCH($L100,$B$87:$B$100,0),MATCH($BQ$86,$A$87:$H$87,0))*고양시_Modal_split!N$3 * 0.01</f>
        <v>4.6455764908633077E-3</v>
      </c>
      <c r="CC100" s="207">
        <f>INDEX($A$87:$H$100,MATCH($L100,$B$87:$B$100,0),MATCH($BQ$86,$A$87:$H$87,0))*고양시_Modal_split!O$3 * 0.01</f>
        <v>8.362037683553954E-3</v>
      </c>
      <c r="CD100" s="207">
        <f>INDEX($A$87:$H$100,MATCH($L100,$B$87:$B$100,0),MATCH($BQ$86,$A$87:$H$87,0))*고양시_Modal_split!P$3 * 0.01</f>
        <v>4.6455764908633075</v>
      </c>
      <c r="CE100" s="304">
        <f t="shared" si="69"/>
        <v>45.677384904128665</v>
      </c>
      <c r="CF100" s="304">
        <f t="shared" si="51"/>
        <v>7672.1693287184698</v>
      </c>
      <c r="CG100" s="304">
        <f t="shared" si="52"/>
        <v>928.22971465890043</v>
      </c>
      <c r="CH100" s="304">
        <f t="shared" si="53"/>
        <v>1495.934355610214</v>
      </c>
      <c r="CI100" s="304">
        <f t="shared" si="54"/>
        <v>150.08283611356563</v>
      </c>
      <c r="CJ100" s="304">
        <f t="shared" si="55"/>
        <v>1.6313351751474525</v>
      </c>
      <c r="CK100" s="304">
        <f t="shared" si="56"/>
        <v>453.5111786909917</v>
      </c>
      <c r="CL100" s="304">
        <f t="shared" si="57"/>
        <v>4965.7842731488463</v>
      </c>
      <c r="CM100" s="304">
        <f t="shared" si="58"/>
        <v>24.470027627211788</v>
      </c>
      <c r="CN100" s="304">
        <f t="shared" si="59"/>
        <v>492.66322289453069</v>
      </c>
      <c r="CO100" s="304">
        <f t="shared" si="60"/>
        <v>37.520709028391408</v>
      </c>
      <c r="CP100" s="304">
        <f t="shared" si="61"/>
        <v>16.313351751474528</v>
      </c>
      <c r="CQ100" s="304">
        <f t="shared" si="62"/>
        <v>29.364033152654144</v>
      </c>
      <c r="CR100" s="304">
        <f t="shared" si="63"/>
        <v>16313.351751474527</v>
      </c>
      <c r="CS100" s="305">
        <f t="shared" si="70"/>
        <v>0</v>
      </c>
      <c r="CV100" s="267" t="s">
        <v>26</v>
      </c>
      <c r="CW100" s="267" t="s">
        <v>26</v>
      </c>
      <c r="CX100" s="267">
        <f>INDEX($M$86:$Z$100,MATCH($CW100,$L$86:$L$100,0),MATCH(CX$87,$M$87:$Z$87,0))/INDEX(고양시_재차인원!$D$4:$H$35,MATCH("고양시",고양시_재차인원!$B$4:$B$35,0),MATCH($CX$86,고양시_재차인원!$D$4:$H$4,0))</f>
        <v>791.42155773817342</v>
      </c>
      <c r="CY100" s="267">
        <f>INDEX($M$86:$Z$100,MATCH($CW100,$L$86:$L$100,0),MATCH(CY$87,$M$87:$Z$87,0))/INDEX(고양시_재차인원!$K$4:$O$20,MATCH("경기도",고양시_재차인원!$K$4:$K$20,0),MATCH($CY$87,고양시_재차인원!$K$4:$O$4,0))</f>
        <v>6.54650124787696E-3</v>
      </c>
      <c r="CZ100" s="267">
        <f>INDEX($M$86:$Z$100,MATCH($CW100,$L$86:$L$100,0),MATCH(CZ$87,$M$87:$Z$87,0))/INDEX(고양시_재차인원!$K$4:$O$20,MATCH("경기도",고양시_재차인원!$K$4:$K$20,0),MATCH($CZ$87,고양시_재차인원!$K$4:$O$4,0))</f>
        <v>1.819927346909795</v>
      </c>
      <c r="DA100" s="267">
        <f>INDEX($M$86:$Z$100,MATCH($CW100,$L$86:$L$100,0),MATCH(DA$87,$M$87:$Z$87,0))/INDEX(고양시_재차인원!$D$4:$H$35,MATCH("고양시",고양시_재차인원!$B$4:$B$35,0),MATCH($CX$86,고양시_재차인원!$D$4:$H$4,0))</f>
        <v>50.82060608907684</v>
      </c>
      <c r="DB100" s="267">
        <f>INDEX($AA$86:$AN$100,MATCH($CW100,$L$86:$L$100,0),MATCH(DB$87,$AA$87:$AN$87,0))/INDEX(고양시_재차인원!$D$4:$H$35,MATCH("고양시",고양시_재차인원!$B$4:$B$35,0),MATCH($DB$86,고양시_재차인원!$D$4:$H$4,0))</f>
        <v>4549.6463053667176</v>
      </c>
      <c r="DC100" s="267">
        <f>INDEX($AA$86:$AN$100,MATCH($CW100,$L$86:$L$100,0),MATCH(DC$87,$AA$87:$AN$87,0))/INDEX(고양시_재차인원!$K$4:$O$20,MATCH("경기도",고양시_재차인원!$K$4:$K$20,0),MATCH(DC$87,고양시_재차인원!$K$4:$O$4,0))</f>
        <v>4.7378368825254306E-2</v>
      </c>
      <c r="DD100" s="267">
        <f>INDEX($AA$86:$AN$100,MATCH($CW100,$L$86:$L$100,0),MATCH(DD$87,$AA$87:$AN$87,0))/INDEX(고양시_재차인원!$K$4:$O$20,MATCH("경기도",고양시_재차인원!$K$4:$K$20,0),MATCH(DD$87,고양시_재차인원!$K$4:$O$4,0))</f>
        <v>13.171186533420693</v>
      </c>
      <c r="DE100" s="267">
        <f>INDEX($AA$86:$AN$100,MATCH($CW100,$L$86:$L$100,0),MATCH(DE$87,$AA$87:$AN$87,0))/INDEX(고양시_재차인원!$D$4:$H$35,MATCH("고양시",고양시_재차인원!$B$4:$B$35,0),MATCH($DB$86,고양시_재차인원!$D$4:$H$4,0))</f>
        <v>292.1524950501273</v>
      </c>
      <c r="DF100" s="267">
        <f>INDEX($AO$86:$BB$100,MATCH($CW100,$L$86:$L$100,0),MATCH(DF$87,$AO$87:$BB$87,0))/INDEX(고양시_재차인원!$D$4:$H$35,MATCH("고양시",고양시_재차인원!$B$4:$B$35,0),MATCH($DF$86,고양시_재차인원!$D$4:$H$4,0))</f>
        <v>283.08672736789111</v>
      </c>
      <c r="DG100" s="267">
        <f>INDEX($AO$86:$BB$100,MATCH($CW100,$L$86:$L$100,0),MATCH(DG$87,$AO$87:$BB$87,0))/INDEX(고양시_재차인원!$K$4:$O$20,MATCH("경기도",고양시_재차인원!$K$4:$K$20,0),MATCH(DG$87,고양시_재차인원!$K$4:$O$4,0))</f>
        <v>2.717979748194238E-3</v>
      </c>
      <c r="DH100" s="267">
        <f>INDEX($AO$86:$BB$100,MATCH($CW100,$L$86:$L$100,0),MATCH(DH$87,$AO$87:$BB$87,0))/INDEX(고양시_재차인원!$K$4:$O$20,MATCH("경기도",고양시_재차인원!$K$4:$K$20,0),MATCH(DH$87,고양시_재차인원!$K$4:$O$4,0))</f>
        <v>0.75559836999799812</v>
      </c>
      <c r="DI100" s="267">
        <f>INDEX($AO$86:$BB$100,MATCH($CW100,$L$86:$L$100,0),MATCH(DI$87,$AO$87:$BB$87,0))/INDEX(고양시_재차인원!$D$4:$H$35,MATCH("고양시",고양시_재차인원!$B$4:$B$35,0),MATCH($DF$86,고양시_재차인원!$D$4:$H$4,0))</f>
        <v>18.178224891580502</v>
      </c>
      <c r="DJ100" s="267">
        <f>INDEX($BC$86:$BP$100,MATCH($CW100,$L$86:$L$100,0),MATCH(DJ$87,$BC$87:$BP$87,0))/INDEX(고양시_재차인원!$D$4:$H$35,MATCH("고양시",고양시_재차인원!$B$4:$B$35,0),MATCH($DJ$86,고양시_재차인원!$D$4:$H$4,0))</f>
        <v>0.42524506083211611</v>
      </c>
      <c r="DK100" s="267">
        <f>INDEX($BC$86:$BP$100,MATCH($CW100,$L$86:$L$100,0),MATCH(DK$87,$BC$87:$BP$87,0))/INDEX(고양시_재차인원!$K$4:$O$20,MATCH("경기도",고양시_재차인원!$K$4:$K$20,0),MATCH(DK$87,고양시_재차인원!$K$4:$O$4,0))</f>
        <v>4.2713144288018322E-6</v>
      </c>
      <c r="DL100" s="267">
        <f>INDEX($BC$86:$BP$100,MATCH($CW100,$L$86:$L$100,0),MATCH(DL$87,$BC$87:$BP$87,0))/INDEX(고양시_재차인원!$K$4:$O$20,MATCH("경기도",고양시_재차인원!$K$4:$K$20,0),MATCH(DL$87,고양시_재차인원!$K$4:$O$4,0))</f>
        <v>1.1874254112069092E-3</v>
      </c>
      <c r="DM100" s="267">
        <f>INDEX($BC$86:$BP$100,MATCH($CW100,$L$86:$L$100,0),MATCH(DM$87,$BC$87:$BP$87,0))/INDEX(고양시_재차인원!$D$4:$H$35,MATCH("고양시",고양시_재차인원!$B$4:$B$35,0),MATCH($DJ$86,고양시_재차인원!$D$4:$H$4,0))</f>
        <v>2.7306827210567521E-2</v>
      </c>
      <c r="DN100" s="267">
        <f>INDEX($BQ$86:$CD$100,MATCH($CW100,$L$86:$L$100,0),MATCH(DN$87,$BQ$87:$CD$87,0))/INDEX(고양시_재차인원!$D$4:$H$35,MATCH("고양시",고양시_재차인원!$B$4:$B$35,0),MATCH($DN$86,고양시_재차인원!$D$4:$H$4,0))</f>
        <v>1.7339798600420742</v>
      </c>
      <c r="DO100" s="267">
        <f>INDEX($BQ$86:$CD$100,MATCH($CW100,$L$86:$L$100,0),MATCH(DO$87,$BQ$87:$CD$87,0))/INDEX(고양시_재차인원!$K$4:$O$20,MATCH("경기도",고양시_재차인원!$K$4:$K$20,0),MATCH(DO$87,고양시_재차인원!$K$4:$O$4,0))</f>
        <v>1.6136076731029204E-5</v>
      </c>
      <c r="DP100" s="267">
        <f>INDEX($BQ$86:$CD$100,MATCH($CW100,$L$86:$L$100,0),MATCH(DP$87,$BQ$87:$CD$87,0))/INDEX(고양시_재차인원!$K$4:$O$20,MATCH("경기도",고양시_재차인원!$K$4:$K$20,0),MATCH(DP$87,고양시_재차인원!$K$4:$O$4,0))</f>
        <v>4.4858293312261179E-3</v>
      </c>
      <c r="DQ100" s="267">
        <f>INDEX($BQ$86:$CD$100,MATCH($CW100,$L$86:$L$100,0),MATCH(DQ$87,$BQ$87:$CD$87,0))/INDEX(고양시_재차인원!$D$4:$H$35,MATCH("고양시",고양시_재차인원!$B$4:$B$35,0),MATCH($DN$86,고양시_재차인원!$D$4:$H$4,0))</f>
        <v>0.11134635716196183</v>
      </c>
      <c r="DR100" s="270">
        <f t="shared" si="71"/>
        <v>5626.313815393657</v>
      </c>
      <c r="DS100" s="270">
        <f t="shared" si="64"/>
        <v>5.6663257212485336E-2</v>
      </c>
      <c r="DT100" s="270">
        <f t="shared" si="65"/>
        <v>15.752385505070919</v>
      </c>
      <c r="DU100" s="270">
        <f t="shared" si="66"/>
        <v>361.28997921515713</v>
      </c>
      <c r="DW100" s="278" t="s">
        <v>26</v>
      </c>
      <c r="DX100" s="278" t="s">
        <v>26</v>
      </c>
      <c r="DY100" s="281">
        <f t="shared" si="72"/>
        <v>5987.6037946088145</v>
      </c>
      <c r="DZ100" s="281">
        <f t="shared" si="73"/>
        <v>15.809048762283403</v>
      </c>
      <c r="ED100" s="230" t="b">
        <f>SUM(ED88:ED98)=ED99</f>
        <v>1</v>
      </c>
      <c r="EE100" s="230" t="b">
        <f>SUM(EE88:EE98)=EE99</f>
        <v>1</v>
      </c>
      <c r="EK100" s="420" t="s">
        <v>169</v>
      </c>
      <c r="EL100" s="420" t="s">
        <v>169</v>
      </c>
      <c r="EM100" s="420" t="s">
        <v>576</v>
      </c>
      <c r="EN100" s="420">
        <v>5756.5210999999999</v>
      </c>
      <c r="EO100" s="420">
        <v>0.34334776653141269</v>
      </c>
      <c r="EP100" s="421">
        <v>849013</v>
      </c>
      <c r="EQ100" s="422">
        <f t="shared" si="75"/>
        <v>139.75311439265491</v>
      </c>
      <c r="ER100" s="422">
        <f t="shared" si="76"/>
        <v>0.36898964525738071</v>
      </c>
      <c r="ES100">
        <v>0</v>
      </c>
      <c r="EU100" s="306" t="s">
        <v>169</v>
      </c>
      <c r="EV100" s="306" t="s">
        <v>169</v>
      </c>
      <c r="EW100" s="306" t="s">
        <v>576</v>
      </c>
      <c r="EX100" s="306">
        <v>5756.5210999999999</v>
      </c>
      <c r="EY100" s="306">
        <v>0.34334776653141269</v>
      </c>
      <c r="EZ100" s="307">
        <v>849013</v>
      </c>
      <c r="FA100" s="308">
        <f t="shared" si="77"/>
        <v>139.75311439265491</v>
      </c>
      <c r="FB100" s="308">
        <f t="shared" si="68"/>
        <v>0.36898964525738071</v>
      </c>
      <c r="FD100" s="101"/>
      <c r="FE100" s="101"/>
      <c r="FF100" s="101"/>
      <c r="FG100" s="101"/>
      <c r="FH100" s="101"/>
      <c r="FI100" s="374"/>
      <c r="FJ100" s="404"/>
      <c r="FK100" s="404"/>
    </row>
    <row r="101" spans="1:167">
      <c r="C101" s="56">
        <f t="shared" ref="C101:H101" si="82">SUM(C88:C99)-C100</f>
        <v>0</v>
      </c>
      <c r="D101" s="56">
        <f t="shared" si="82"/>
        <v>0</v>
      </c>
      <c r="E101" s="56">
        <f t="shared" si="82"/>
        <v>0</v>
      </c>
      <c r="F101" s="56">
        <f t="shared" si="82"/>
        <v>0</v>
      </c>
      <c r="G101" s="56">
        <f t="shared" si="82"/>
        <v>0</v>
      </c>
      <c r="H101" s="56">
        <f t="shared" si="82"/>
        <v>0</v>
      </c>
      <c r="I101" s="56"/>
      <c r="J101" s="56"/>
      <c r="K101" s="56"/>
      <c r="L101" s="56"/>
      <c r="M101" s="56"/>
      <c r="P101" s="56"/>
      <c r="Q101" s="56"/>
      <c r="R101" s="56"/>
      <c r="S101" s="56"/>
      <c r="T101" s="301"/>
      <c r="U101" s="301"/>
      <c r="V101" s="302"/>
      <c r="W101" s="56"/>
      <c r="X101" s="56"/>
      <c r="EK101" s="420" t="s">
        <v>169</v>
      </c>
      <c r="EL101" s="420" t="s">
        <v>169</v>
      </c>
      <c r="EM101" s="420" t="s">
        <v>577</v>
      </c>
      <c r="EN101" s="420">
        <v>5584.9350000000004</v>
      </c>
      <c r="EO101" s="420">
        <v>0.33311351164388425</v>
      </c>
      <c r="EP101" s="421">
        <v>849014</v>
      </c>
      <c r="EQ101" s="422">
        <f t="shared" si="75"/>
        <v>135.58745748895842</v>
      </c>
      <c r="ER101" s="422">
        <f t="shared" si="76"/>
        <v>0.35799107631787014</v>
      </c>
      <c r="ES101">
        <v>0</v>
      </c>
      <c r="EU101" s="306" t="s">
        <v>169</v>
      </c>
      <c r="EV101" s="306" t="s">
        <v>169</v>
      </c>
      <c r="EW101" s="306" t="s">
        <v>577</v>
      </c>
      <c r="EX101" s="306">
        <v>5584.9350000000004</v>
      </c>
      <c r="EY101" s="306">
        <v>0.33311351164388425</v>
      </c>
      <c r="EZ101" s="307">
        <v>849014</v>
      </c>
      <c r="FA101" s="308">
        <f t="shared" si="77"/>
        <v>135.58745748895842</v>
      </c>
      <c r="FB101" s="308">
        <f t="shared" si="68"/>
        <v>0.35799107631787014</v>
      </c>
      <c r="FD101" s="101"/>
      <c r="FE101" s="101"/>
      <c r="FF101" s="101"/>
      <c r="FG101" s="101"/>
      <c r="FH101" s="101"/>
      <c r="FI101" s="374"/>
      <c r="FJ101" s="404"/>
      <c r="FK101" s="404"/>
    </row>
    <row r="102" spans="1:167">
      <c r="C102" s="56"/>
      <c r="D102" s="56"/>
      <c r="E102" s="56"/>
      <c r="F102" s="56"/>
      <c r="G102" s="56"/>
      <c r="H102" s="56"/>
      <c r="I102" s="56"/>
      <c r="J102" s="56"/>
      <c r="K102" s="56"/>
      <c r="L102" s="56"/>
      <c r="M102" s="56"/>
      <c r="P102" s="56"/>
      <c r="Q102" s="56"/>
      <c r="R102" s="56"/>
      <c r="S102" s="56"/>
      <c r="T102" s="301"/>
      <c r="U102" s="301"/>
      <c r="V102" s="302"/>
      <c r="W102" s="56"/>
      <c r="X102" s="56"/>
      <c r="EK102" s="420" t="s">
        <v>169</v>
      </c>
      <c r="EL102" s="420" t="s">
        <v>169</v>
      </c>
      <c r="EM102" s="420" t="s">
        <v>382</v>
      </c>
      <c r="EN102" s="420">
        <v>5424.4053999999996</v>
      </c>
      <c r="EO102" s="420">
        <v>0.32353872182470311</v>
      </c>
      <c r="EP102" s="421">
        <v>849015</v>
      </c>
      <c r="EQ102" s="422">
        <f t="shared" si="75"/>
        <v>131.69022317634429</v>
      </c>
      <c r="ER102" s="422">
        <f t="shared" si="76"/>
        <v>0.34770122258011354</v>
      </c>
      <c r="ES102">
        <v>0</v>
      </c>
      <c r="EU102" s="306" t="s">
        <v>169</v>
      </c>
      <c r="EV102" s="306" t="s">
        <v>169</v>
      </c>
      <c r="EW102" s="306" t="s">
        <v>382</v>
      </c>
      <c r="EX102" s="306">
        <v>5424.4053999999996</v>
      </c>
      <c r="EY102" s="306">
        <v>0.32353872182470311</v>
      </c>
      <c r="EZ102" s="307">
        <v>849015</v>
      </c>
      <c r="FA102" s="308">
        <f t="shared" si="77"/>
        <v>131.69022317634429</v>
      </c>
      <c r="FB102" s="308">
        <f t="shared" si="68"/>
        <v>0.34770122258011354</v>
      </c>
      <c r="FD102" s="101"/>
      <c r="FE102" s="101"/>
      <c r="FF102" s="101"/>
      <c r="FG102" s="101"/>
      <c r="FH102" s="101"/>
      <c r="FI102" s="374"/>
      <c r="FJ102" s="404"/>
      <c r="FK102" s="404"/>
    </row>
    <row r="103" spans="1:167">
      <c r="C103" s="56"/>
      <c r="D103" s="56"/>
      <c r="E103" s="56"/>
      <c r="F103" s="56"/>
      <c r="G103" s="56"/>
      <c r="H103" s="56"/>
      <c r="I103" s="56"/>
      <c r="J103" s="56"/>
      <c r="K103" s="56"/>
      <c r="L103" s="56"/>
      <c r="M103" s="56"/>
      <c r="P103" s="56"/>
      <c r="Q103" s="56"/>
      <c r="R103" s="56"/>
      <c r="S103" s="56"/>
      <c r="T103" s="301"/>
      <c r="U103" s="301"/>
      <c r="V103" s="302"/>
      <c r="W103" s="56"/>
      <c r="X103" s="56"/>
      <c r="EK103" s="420" t="s">
        <v>170</v>
      </c>
      <c r="EL103" s="420" t="s">
        <v>170</v>
      </c>
      <c r="EM103" s="420" t="s">
        <v>578</v>
      </c>
      <c r="EN103" s="420">
        <v>28051.338899999999</v>
      </c>
      <c r="EO103" s="420">
        <v>1</v>
      </c>
      <c r="EP103" s="421">
        <v>849016</v>
      </c>
      <c r="EQ103" s="422">
        <f t="shared" si="75"/>
        <v>336.63810491072951</v>
      </c>
      <c r="ER103" s="422">
        <f t="shared" si="76"/>
        <v>0.88882437755287313</v>
      </c>
      <c r="ES103">
        <v>0</v>
      </c>
      <c r="EU103" s="306" t="s">
        <v>170</v>
      </c>
      <c r="EV103" s="306" t="s">
        <v>170</v>
      </c>
      <c r="EW103" s="306" t="s">
        <v>578</v>
      </c>
      <c r="EX103" s="306">
        <v>28051.338899999999</v>
      </c>
      <c r="EY103" s="306">
        <v>1</v>
      </c>
      <c r="EZ103" s="307">
        <v>849016</v>
      </c>
      <c r="FA103" s="308">
        <f t="shared" si="77"/>
        <v>336.63810491072951</v>
      </c>
      <c r="FB103" s="308">
        <f t="shared" si="68"/>
        <v>0.88882437755287313</v>
      </c>
      <c r="FD103" s="101"/>
      <c r="FE103" s="101"/>
      <c r="FF103" s="101"/>
      <c r="FG103" s="101"/>
      <c r="FH103" s="101"/>
      <c r="FI103" s="374"/>
      <c r="FJ103" s="404"/>
      <c r="FK103" s="404"/>
    </row>
    <row r="104" spans="1:167">
      <c r="C104" s="56"/>
      <c r="D104" s="56"/>
      <c r="E104" s="56"/>
      <c r="F104" s="56"/>
      <c r="G104" s="56"/>
      <c r="H104" s="56"/>
      <c r="I104" s="56"/>
      <c r="J104" s="56"/>
      <c r="K104" s="56"/>
      <c r="L104" s="56"/>
      <c r="M104" s="56"/>
      <c r="P104" s="56"/>
      <c r="Q104" s="56"/>
      <c r="R104" s="56"/>
      <c r="S104" s="56"/>
      <c r="T104" s="301"/>
      <c r="U104" s="301"/>
      <c r="V104" s="302"/>
      <c r="W104" s="56"/>
      <c r="X104" s="56"/>
      <c r="EK104" s="420" t="s">
        <v>171</v>
      </c>
      <c r="EL104" s="420" t="s">
        <v>171</v>
      </c>
      <c r="EM104" s="420" t="s">
        <v>580</v>
      </c>
      <c r="EN104" s="420">
        <v>15650.840399999999</v>
      </c>
      <c r="EO104" s="420">
        <v>0.80490868986400721</v>
      </c>
      <c r="EP104" s="421">
        <v>849017</v>
      </c>
      <c r="EQ104" s="422">
        <f t="shared" si="75"/>
        <v>10.882645892211039</v>
      </c>
      <c r="ER104" s="422">
        <f t="shared" si="76"/>
        <v>2.8733410805760841E-2</v>
      </c>
      <c r="ES104">
        <v>0</v>
      </c>
      <c r="EU104" s="306" t="s">
        <v>171</v>
      </c>
      <c r="EV104" s="306" t="s">
        <v>171</v>
      </c>
      <c r="EW104" s="306" t="s">
        <v>580</v>
      </c>
      <c r="EX104" s="306">
        <v>15650.840399999999</v>
      </c>
      <c r="EY104" s="306">
        <v>0.80490868986400721</v>
      </c>
      <c r="EZ104" s="307">
        <v>849017</v>
      </c>
      <c r="FA104" s="308">
        <f t="shared" si="77"/>
        <v>10.882645892211039</v>
      </c>
      <c r="FB104" s="308">
        <f t="shared" si="68"/>
        <v>2.8733410805760841E-2</v>
      </c>
      <c r="FD104" s="101"/>
      <c r="FE104" s="101"/>
      <c r="FF104" s="101"/>
      <c r="FG104" s="101"/>
      <c r="FH104" s="101"/>
      <c r="FI104" s="374"/>
      <c r="FJ104" s="404"/>
      <c r="FK104" s="404"/>
    </row>
    <row r="105" spans="1:167">
      <c r="C105" s="56"/>
      <c r="D105" s="56"/>
      <c r="E105" s="56"/>
      <c r="F105" s="56"/>
      <c r="G105" s="56"/>
      <c r="H105" s="56"/>
      <c r="I105" s="56"/>
      <c r="J105" s="56"/>
      <c r="K105" s="56"/>
      <c r="L105" s="56"/>
      <c r="M105" s="56"/>
      <c r="P105" s="56"/>
      <c r="Q105" s="56"/>
      <c r="R105" s="56"/>
      <c r="S105" s="56"/>
      <c r="T105" s="301"/>
      <c r="U105" s="301"/>
      <c r="V105" s="302"/>
      <c r="W105" s="56"/>
      <c r="X105" s="56"/>
      <c r="EK105" s="420" t="s">
        <v>171</v>
      </c>
      <c r="EL105" s="420" t="s">
        <v>171</v>
      </c>
      <c r="EM105" s="420" t="s">
        <v>581</v>
      </c>
      <c r="EN105" s="420">
        <v>3793.4029</v>
      </c>
      <c r="EO105" s="420">
        <v>0.19509131013599282</v>
      </c>
      <c r="EP105" s="421">
        <v>849018</v>
      </c>
      <c r="EQ105" s="422">
        <f t="shared" si="75"/>
        <v>2.6377024768067057</v>
      </c>
      <c r="ER105" s="422">
        <f t="shared" si="76"/>
        <v>6.9643163620443363E-3</v>
      </c>
      <c r="ES105">
        <v>0</v>
      </c>
      <c r="EU105" s="306" t="s">
        <v>171</v>
      </c>
      <c r="EV105" s="306" t="s">
        <v>171</v>
      </c>
      <c r="EW105" s="306" t="s">
        <v>581</v>
      </c>
      <c r="EX105" s="306">
        <v>3793.4029</v>
      </c>
      <c r="EY105" s="306">
        <v>0.19509131013599282</v>
      </c>
      <c r="EZ105" s="307">
        <v>849018</v>
      </c>
      <c r="FA105" s="308">
        <f t="shared" si="77"/>
        <v>2.6377024768067057</v>
      </c>
      <c r="FB105" s="308">
        <f t="shared" si="68"/>
        <v>6.9643163620443363E-3</v>
      </c>
      <c r="FD105" s="101"/>
      <c r="FE105" s="101"/>
      <c r="FF105" s="101"/>
      <c r="FG105" s="101"/>
      <c r="FH105" s="101"/>
      <c r="FI105" s="374"/>
      <c r="FJ105" s="404"/>
      <c r="FK105" s="404"/>
    </row>
    <row r="106" spans="1:167">
      <c r="C106" s="56"/>
      <c r="D106" s="56"/>
      <c r="E106" s="56"/>
      <c r="F106" s="56"/>
      <c r="G106" s="56"/>
      <c r="H106" s="56"/>
      <c r="I106" s="56"/>
      <c r="J106" s="56"/>
      <c r="K106" s="56"/>
      <c r="L106" s="56"/>
      <c r="M106" s="56"/>
      <c r="P106" s="56"/>
      <c r="Q106" s="56"/>
      <c r="R106" s="56"/>
      <c r="S106" s="56"/>
      <c r="T106" s="301"/>
      <c r="U106" s="301"/>
      <c r="V106" s="302"/>
      <c r="W106" s="56"/>
      <c r="X106" s="56"/>
      <c r="EK106" s="420" t="s">
        <v>13</v>
      </c>
      <c r="EL106" s="420" t="s">
        <v>13</v>
      </c>
      <c r="EM106" s="420" t="s">
        <v>583</v>
      </c>
      <c r="EN106" s="420">
        <v>2617.3850000000002</v>
      </c>
      <c r="EO106" s="420">
        <v>0.44699524620375919</v>
      </c>
      <c r="EP106" s="421">
        <v>849019</v>
      </c>
      <c r="EQ106" s="422">
        <f t="shared" si="75"/>
        <v>47.386780671580425</v>
      </c>
      <c r="ER106" s="422">
        <f t="shared" si="76"/>
        <v>0.12511514656316486</v>
      </c>
      <c r="ES106">
        <v>0</v>
      </c>
      <c r="EU106" s="306" t="s">
        <v>13</v>
      </c>
      <c r="EV106" s="306" t="s">
        <v>13</v>
      </c>
      <c r="EW106" s="306" t="s">
        <v>583</v>
      </c>
      <c r="EX106" s="306">
        <v>2617.3850000000002</v>
      </c>
      <c r="EY106" s="306">
        <v>0.44699524620375919</v>
      </c>
      <c r="EZ106" s="307">
        <v>849019</v>
      </c>
      <c r="FA106" s="308">
        <f t="shared" si="77"/>
        <v>47.386780671580425</v>
      </c>
      <c r="FB106" s="308">
        <f t="shared" si="68"/>
        <v>0.12511514656316486</v>
      </c>
      <c r="FD106" s="101"/>
      <c r="FE106" s="101"/>
      <c r="FF106" s="101"/>
      <c r="FG106" s="101"/>
      <c r="FH106" s="101"/>
      <c r="FI106" s="374"/>
      <c r="FJ106" s="404"/>
      <c r="FK106" s="404"/>
    </row>
    <row r="107" spans="1:167">
      <c r="C107" s="56"/>
      <c r="D107" s="56"/>
      <c r="E107" s="56"/>
      <c r="F107" s="56"/>
      <c r="G107" s="56"/>
      <c r="H107" s="56"/>
      <c r="I107" s="56"/>
      <c r="J107" s="56"/>
      <c r="K107" s="56"/>
      <c r="L107" s="56"/>
      <c r="M107" s="56"/>
      <c r="P107" s="56"/>
      <c r="Q107" s="56"/>
      <c r="R107" s="56"/>
      <c r="S107" s="56"/>
      <c r="T107" s="301"/>
      <c r="U107" s="301"/>
      <c r="V107" s="302"/>
      <c r="W107" s="56"/>
      <c r="X107" s="56"/>
      <c r="EK107" s="420" t="s">
        <v>13</v>
      </c>
      <c r="EL107" s="420" t="s">
        <v>13</v>
      </c>
      <c r="EM107" s="420" t="s">
        <v>584</v>
      </c>
      <c r="EN107" s="420">
        <v>3238.1246999999998</v>
      </c>
      <c r="EO107" s="420">
        <v>0.5530047537962407</v>
      </c>
      <c r="EP107" s="421">
        <v>849020</v>
      </c>
      <c r="EQ107" s="422">
        <f t="shared" si="75"/>
        <v>58.625041767308637</v>
      </c>
      <c r="ER107" s="422">
        <f t="shared" si="76"/>
        <v>0.15478748691167105</v>
      </c>
      <c r="ES107">
        <v>0</v>
      </c>
      <c r="EU107" s="306" t="s">
        <v>13</v>
      </c>
      <c r="EV107" s="306" t="s">
        <v>13</v>
      </c>
      <c r="EW107" s="306" t="s">
        <v>584</v>
      </c>
      <c r="EX107" s="306">
        <v>3238.1246999999998</v>
      </c>
      <c r="EY107" s="306">
        <v>0.5530047537962407</v>
      </c>
      <c r="EZ107" s="307">
        <v>849020</v>
      </c>
      <c r="FA107" s="308">
        <f t="shared" si="77"/>
        <v>58.625041767308637</v>
      </c>
      <c r="FB107" s="308">
        <f t="shared" si="68"/>
        <v>0.15478748691167105</v>
      </c>
      <c r="FD107" s="101"/>
      <c r="FE107" s="101"/>
      <c r="FF107" s="101"/>
      <c r="FG107" s="101"/>
      <c r="FH107" s="101"/>
      <c r="FI107" s="374"/>
      <c r="FJ107" s="404"/>
      <c r="FK107" s="404"/>
    </row>
    <row r="108" spans="1:167">
      <c r="C108" s="56"/>
      <c r="D108" s="56"/>
      <c r="E108" s="56"/>
      <c r="F108" s="56"/>
      <c r="G108" s="56"/>
      <c r="H108" s="56"/>
      <c r="I108" s="56"/>
      <c r="J108" s="56"/>
      <c r="K108" s="56"/>
      <c r="L108" s="56"/>
      <c r="M108" s="56"/>
      <c r="P108" s="56"/>
      <c r="Q108" s="56"/>
      <c r="R108" s="56"/>
      <c r="S108" s="56"/>
      <c r="T108" s="301"/>
      <c r="U108" s="301"/>
      <c r="V108" s="302"/>
      <c r="W108" s="56"/>
      <c r="X108" s="56"/>
      <c r="EQ108" s="310">
        <f>SUM(EQ88:EQ107)</f>
        <v>5816.9570864624648</v>
      </c>
      <c r="ER108" s="310">
        <f>SUM(ER88:ER107)</f>
        <v>15.358490872558328</v>
      </c>
      <c r="FA108" s="310"/>
      <c r="FB108" s="310"/>
      <c r="FJ108" s="310"/>
      <c r="FK108" s="310"/>
    </row>
    <row r="109" spans="1:167">
      <c r="C109" s="56"/>
      <c r="D109" s="56"/>
      <c r="E109" s="56"/>
      <c r="F109" s="56"/>
      <c r="G109" s="56"/>
      <c r="H109" s="56"/>
      <c r="I109" s="56"/>
      <c r="J109" s="56"/>
      <c r="K109" s="56"/>
      <c r="L109" s="56"/>
      <c r="M109" s="56"/>
      <c r="P109" s="56"/>
      <c r="Q109" s="56"/>
      <c r="R109" s="56"/>
      <c r="S109" s="56"/>
      <c r="T109" s="301"/>
      <c r="U109" s="301"/>
      <c r="V109" s="302"/>
      <c r="W109" s="56"/>
      <c r="X109" s="56"/>
    </row>
    <row r="110" spans="1:167">
      <c r="C110" s="56"/>
      <c r="D110" s="56"/>
      <c r="E110" s="56"/>
      <c r="F110" s="56"/>
      <c r="G110" s="56"/>
      <c r="H110" s="56"/>
      <c r="I110" s="56"/>
      <c r="J110" s="56"/>
      <c r="K110" s="56"/>
      <c r="L110" s="56"/>
      <c r="M110" s="56"/>
      <c r="P110" s="56"/>
      <c r="Q110" s="56"/>
      <c r="R110" s="56"/>
      <c r="S110" s="56"/>
      <c r="T110" s="301"/>
      <c r="U110" s="301"/>
      <c r="V110" s="302"/>
      <c r="W110" s="56"/>
      <c r="X110" s="56"/>
    </row>
    <row r="111" spans="1:167">
      <c r="C111" s="56"/>
      <c r="D111" s="56"/>
      <c r="E111" s="56"/>
      <c r="F111" s="56"/>
      <c r="G111" s="56"/>
      <c r="H111" s="56"/>
      <c r="I111" s="56"/>
      <c r="J111" s="56"/>
      <c r="K111" s="56"/>
      <c r="L111" s="56"/>
      <c r="M111" s="56"/>
      <c r="P111" s="56"/>
      <c r="Q111" s="56"/>
      <c r="R111" s="56"/>
      <c r="S111" s="56"/>
      <c r="T111" s="301"/>
      <c r="U111" s="301"/>
      <c r="V111" s="302"/>
      <c r="W111" s="56"/>
      <c r="X111" s="56"/>
    </row>
    <row r="112" spans="1:167">
      <c r="C112" s="56"/>
      <c r="D112" s="56"/>
      <c r="E112" s="56"/>
      <c r="F112" s="56"/>
      <c r="G112" s="56"/>
      <c r="H112" s="56"/>
      <c r="I112" s="56"/>
      <c r="J112" s="56"/>
      <c r="K112" s="56"/>
      <c r="L112" s="56"/>
      <c r="M112" s="56"/>
      <c r="P112" s="56"/>
      <c r="Q112" s="56"/>
      <c r="R112" s="56"/>
      <c r="S112" s="56"/>
      <c r="T112" s="301"/>
      <c r="U112" s="301"/>
      <c r="V112" s="302"/>
      <c r="W112" s="56"/>
      <c r="X112" s="56"/>
    </row>
    <row r="113" spans="1:40">
      <c r="C113" s="56"/>
      <c r="D113" s="56"/>
      <c r="E113" s="56"/>
      <c r="F113" s="56"/>
      <c r="G113" s="56"/>
      <c r="H113" s="56"/>
      <c r="I113" s="56"/>
      <c r="J113" s="56"/>
      <c r="K113" s="56"/>
      <c r="L113" s="56"/>
      <c r="M113" s="56"/>
      <c r="P113" s="56"/>
      <c r="Q113" s="56"/>
      <c r="R113" s="56"/>
      <c r="S113" s="56"/>
      <c r="T113" s="301"/>
      <c r="U113" s="301"/>
      <c r="V113" s="302"/>
      <c r="W113" s="56"/>
      <c r="X113" s="56"/>
    </row>
    <row r="114" spans="1:40">
      <c r="C114" s="56"/>
      <c r="D114" s="56"/>
      <c r="E114" s="56"/>
      <c r="F114" s="56"/>
      <c r="G114" s="56"/>
      <c r="H114" s="56"/>
      <c r="I114" s="56"/>
      <c r="J114" s="56"/>
      <c r="K114" s="56"/>
      <c r="L114" s="56"/>
      <c r="M114" s="56"/>
      <c r="P114" s="56"/>
      <c r="Q114" s="56"/>
      <c r="R114" s="56"/>
      <c r="S114" s="56"/>
      <c r="T114" s="301"/>
      <c r="U114" s="301"/>
      <c r="V114" s="302"/>
      <c r="W114" s="56"/>
      <c r="X114" s="56"/>
    </row>
    <row r="116" spans="1:40">
      <c r="A116" t="s">
        <v>203</v>
      </c>
      <c r="L116" s="65" t="s">
        <v>204</v>
      </c>
    </row>
    <row r="117" spans="1:40">
      <c r="C117" s="555" t="s">
        <v>156</v>
      </c>
      <c r="D117" s="556"/>
      <c r="E117" s="555" t="s">
        <v>157</v>
      </c>
      <c r="F117" s="556"/>
      <c r="G117" s="555" t="s">
        <v>158</v>
      </c>
      <c r="H117" s="556"/>
      <c r="I117" s="555" t="s">
        <v>159</v>
      </c>
      <c r="J117" s="556"/>
      <c r="K117" s="555" t="s">
        <v>160</v>
      </c>
      <c r="L117" s="557"/>
      <c r="M117" s="557"/>
      <c r="P117" s="531" t="s">
        <v>156</v>
      </c>
      <c r="Q117" s="531"/>
      <c r="R117" s="531" t="s">
        <v>174</v>
      </c>
      <c r="S117" s="531"/>
      <c r="T117" s="555" t="s">
        <v>158</v>
      </c>
      <c r="U117" s="556"/>
      <c r="V117" s="531" t="s">
        <v>160</v>
      </c>
      <c r="W117" s="531"/>
      <c r="X117" s="531"/>
    </row>
    <row r="118" spans="1:40">
      <c r="A118" t="s">
        <v>205</v>
      </c>
      <c r="C118" s="66" t="s">
        <v>40</v>
      </c>
      <c r="D118" s="66" t="s">
        <v>41</v>
      </c>
      <c r="E118" s="66" t="s">
        <v>40</v>
      </c>
      <c r="F118" s="66" t="s">
        <v>41</v>
      </c>
      <c r="G118" s="66" t="s">
        <v>40</v>
      </c>
      <c r="H118" s="66" t="s">
        <v>41</v>
      </c>
      <c r="I118" s="66" t="s">
        <v>40</v>
      </c>
      <c r="J118" s="66" t="s">
        <v>41</v>
      </c>
      <c r="K118" s="66" t="s">
        <v>40</v>
      </c>
      <c r="L118" s="66" t="s">
        <v>41</v>
      </c>
      <c r="M118" s="67" t="s">
        <v>21</v>
      </c>
      <c r="P118" s="276" t="s">
        <v>40</v>
      </c>
      <c r="Q118" s="276" t="s">
        <v>41</v>
      </c>
      <c r="R118" s="276" t="s">
        <v>40</v>
      </c>
      <c r="S118" s="276" t="s">
        <v>41</v>
      </c>
      <c r="T118" s="66" t="s">
        <v>40</v>
      </c>
      <c r="U118" s="66" t="s">
        <v>41</v>
      </c>
      <c r="V118" s="276" t="s">
        <v>40</v>
      </c>
      <c r="W118" s="276" t="s">
        <v>41</v>
      </c>
      <c r="X118" s="276" t="s">
        <v>21</v>
      </c>
    </row>
    <row r="119" spans="1:40">
      <c r="A119" t="s">
        <v>136</v>
      </c>
      <c r="C119" s="68">
        <v>1113</v>
      </c>
      <c r="D119" s="68">
        <v>1113</v>
      </c>
      <c r="E119" s="69">
        <v>149</v>
      </c>
      <c r="F119" s="69">
        <v>149</v>
      </c>
      <c r="G119" s="69">
        <v>902</v>
      </c>
      <c r="H119" s="69">
        <v>902</v>
      </c>
      <c r="I119" s="68">
        <v>1831</v>
      </c>
      <c r="J119" s="68">
        <v>1831</v>
      </c>
      <c r="K119" s="68">
        <v>3995</v>
      </c>
      <c r="L119" s="68">
        <v>3995</v>
      </c>
      <c r="M119" s="68">
        <v>7990</v>
      </c>
      <c r="P119" s="69">
        <v>704</v>
      </c>
      <c r="Q119" s="69">
        <v>704</v>
      </c>
      <c r="R119" s="69">
        <v>105</v>
      </c>
      <c r="S119" s="69">
        <v>105</v>
      </c>
      <c r="T119" s="74">
        <f t="shared" ref="T119:U125" si="83">G119/$H$8</f>
        <v>77.89291882556131</v>
      </c>
      <c r="U119" s="74">
        <f t="shared" si="83"/>
        <v>77.89291882556131</v>
      </c>
      <c r="V119" s="69">
        <v>809</v>
      </c>
      <c r="W119" s="69">
        <v>809</v>
      </c>
      <c r="X119" s="68">
        <v>1618</v>
      </c>
    </row>
    <row r="120" spans="1:40">
      <c r="A120" t="s">
        <v>206</v>
      </c>
      <c r="C120" s="68">
        <v>3252</v>
      </c>
      <c r="D120" s="68">
        <v>3252</v>
      </c>
      <c r="E120" s="69">
        <v>634</v>
      </c>
      <c r="F120" s="69">
        <v>634</v>
      </c>
      <c r="G120" s="68">
        <v>4005</v>
      </c>
      <c r="H120" s="68">
        <v>4005</v>
      </c>
      <c r="I120" s="68">
        <v>1525</v>
      </c>
      <c r="J120" s="68">
        <v>1525</v>
      </c>
      <c r="K120" s="68">
        <v>9416</v>
      </c>
      <c r="L120" s="68">
        <v>9416</v>
      </c>
      <c r="M120" s="68">
        <v>18832</v>
      </c>
      <c r="P120" s="68">
        <v>2258</v>
      </c>
      <c r="Q120" s="68">
        <v>2258</v>
      </c>
      <c r="R120" s="69">
        <v>459</v>
      </c>
      <c r="S120" s="69">
        <v>459</v>
      </c>
      <c r="T120" s="74">
        <f t="shared" si="83"/>
        <v>345.85492227979273</v>
      </c>
      <c r="U120" s="74">
        <f t="shared" si="83"/>
        <v>345.85492227979273</v>
      </c>
      <c r="V120" s="68">
        <v>2717</v>
      </c>
      <c r="W120" s="68">
        <v>2717</v>
      </c>
      <c r="X120" s="68">
        <v>5434</v>
      </c>
    </row>
    <row r="121" spans="1:40">
      <c r="A121" t="s">
        <v>207</v>
      </c>
      <c r="C121" s="68">
        <v>4405</v>
      </c>
      <c r="D121" s="68">
        <v>4405</v>
      </c>
      <c r="E121" s="69">
        <v>982</v>
      </c>
      <c r="F121" s="69">
        <v>982</v>
      </c>
      <c r="G121" s="68">
        <v>7338</v>
      </c>
      <c r="H121" s="68">
        <v>7338</v>
      </c>
      <c r="I121" s="68">
        <v>1053</v>
      </c>
      <c r="J121" s="68">
        <v>1053</v>
      </c>
      <c r="K121" s="68">
        <v>13778</v>
      </c>
      <c r="L121" s="68">
        <v>13778</v>
      </c>
      <c r="M121" s="68">
        <v>27556</v>
      </c>
      <c r="P121" s="68">
        <v>2942</v>
      </c>
      <c r="Q121" s="68">
        <v>2942</v>
      </c>
      <c r="R121" s="69">
        <v>905</v>
      </c>
      <c r="S121" s="69">
        <v>905</v>
      </c>
      <c r="T121" s="74">
        <f t="shared" si="83"/>
        <v>633.67875647668393</v>
      </c>
      <c r="U121" s="74">
        <f t="shared" si="83"/>
        <v>633.67875647668393</v>
      </c>
      <c r="V121" s="68">
        <v>3847</v>
      </c>
      <c r="W121" s="68">
        <v>3847</v>
      </c>
      <c r="X121" s="68">
        <v>7694</v>
      </c>
    </row>
    <row r="122" spans="1:40">
      <c r="A122" t="s">
        <v>208</v>
      </c>
      <c r="C122" s="68">
        <v>1194</v>
      </c>
      <c r="D122" s="68">
        <v>1194</v>
      </c>
      <c r="E122" s="69">
        <v>324</v>
      </c>
      <c r="F122" s="69">
        <v>324</v>
      </c>
      <c r="G122" s="68">
        <v>1204</v>
      </c>
      <c r="H122" s="68">
        <v>1204</v>
      </c>
      <c r="I122" s="69">
        <v>676</v>
      </c>
      <c r="J122" s="69">
        <v>676</v>
      </c>
      <c r="K122" s="68">
        <v>3398</v>
      </c>
      <c r="L122" s="68">
        <v>3398</v>
      </c>
      <c r="M122" s="68">
        <v>6796</v>
      </c>
      <c r="P122" s="69">
        <v>852</v>
      </c>
      <c r="Q122" s="69">
        <v>852</v>
      </c>
      <c r="R122" s="69">
        <v>278</v>
      </c>
      <c r="S122" s="69">
        <v>278</v>
      </c>
      <c r="T122" s="74">
        <f t="shared" si="83"/>
        <v>103.97236614853195</v>
      </c>
      <c r="U122" s="74">
        <f t="shared" si="83"/>
        <v>103.97236614853195</v>
      </c>
      <c r="V122" s="68">
        <v>1130</v>
      </c>
      <c r="W122" s="68">
        <v>1130</v>
      </c>
      <c r="X122" s="68">
        <v>2260</v>
      </c>
      <c r="AK122" s="437" t="s">
        <v>279</v>
      </c>
      <c r="AL122" s="437"/>
      <c r="AM122" s="437"/>
      <c r="AN122" s="437"/>
    </row>
    <row r="123" spans="1:40">
      <c r="A123" t="s">
        <v>209</v>
      </c>
      <c r="C123" s="68">
        <v>2353</v>
      </c>
      <c r="D123" s="68">
        <v>2353</v>
      </c>
      <c r="E123" s="69">
        <v>560</v>
      </c>
      <c r="F123" s="69">
        <v>560</v>
      </c>
      <c r="G123" s="68">
        <v>2525</v>
      </c>
      <c r="H123" s="68">
        <v>2525</v>
      </c>
      <c r="I123" s="68">
        <v>2539</v>
      </c>
      <c r="J123" s="68">
        <v>2539</v>
      </c>
      <c r="K123" s="68">
        <v>7977</v>
      </c>
      <c r="L123" s="68">
        <v>7977</v>
      </c>
      <c r="M123" s="68">
        <v>15954</v>
      </c>
      <c r="P123" s="68">
        <v>1671</v>
      </c>
      <c r="Q123" s="68">
        <v>1671</v>
      </c>
      <c r="R123" s="69">
        <v>452</v>
      </c>
      <c r="S123" s="69">
        <v>452</v>
      </c>
      <c r="T123" s="74">
        <f t="shared" si="83"/>
        <v>218.04835924006909</v>
      </c>
      <c r="U123" s="74">
        <f t="shared" si="83"/>
        <v>218.04835924006909</v>
      </c>
      <c r="V123" s="68">
        <v>2123</v>
      </c>
      <c r="W123" s="68">
        <v>2123</v>
      </c>
      <c r="X123" s="68">
        <v>4246</v>
      </c>
      <c r="AK123" t="s">
        <v>73</v>
      </c>
      <c r="AL123" t="s">
        <v>217</v>
      </c>
      <c r="AM123" t="s">
        <v>125</v>
      </c>
      <c r="AN123" t="s">
        <v>126</v>
      </c>
    </row>
    <row r="124" spans="1:40">
      <c r="A124" t="s">
        <v>210</v>
      </c>
      <c r="C124" s="68">
        <v>4287</v>
      </c>
      <c r="D124" s="68">
        <v>4287</v>
      </c>
      <c r="E124" s="68">
        <v>1040</v>
      </c>
      <c r="F124" s="68">
        <v>1040</v>
      </c>
      <c r="G124" s="68">
        <v>4743</v>
      </c>
      <c r="H124" s="68">
        <v>4743</v>
      </c>
      <c r="I124" s="68">
        <v>4771</v>
      </c>
      <c r="J124" s="68">
        <v>4771</v>
      </c>
      <c r="K124" s="68">
        <v>14841</v>
      </c>
      <c r="L124" s="68">
        <v>14841</v>
      </c>
      <c r="M124" s="68">
        <v>29682</v>
      </c>
      <c r="P124" s="68">
        <v>3021</v>
      </c>
      <c r="Q124" s="68">
        <v>3021</v>
      </c>
      <c r="R124" s="69">
        <v>820</v>
      </c>
      <c r="S124" s="69">
        <v>820</v>
      </c>
      <c r="T124" s="74">
        <f t="shared" si="83"/>
        <v>409.58549222797927</v>
      </c>
      <c r="U124" s="74">
        <f t="shared" si="83"/>
        <v>409.58549222797927</v>
      </c>
      <c r="V124" s="68">
        <v>3841</v>
      </c>
      <c r="W124" s="68">
        <v>3841</v>
      </c>
      <c r="X124" s="68">
        <v>7682</v>
      </c>
      <c r="AK124">
        <v>263.28750000000002</v>
      </c>
      <c r="AL124">
        <v>263.14999999999998</v>
      </c>
      <c r="AM124">
        <v>658.34339999999997</v>
      </c>
      <c r="AN124">
        <v>649.94010000000003</v>
      </c>
    </row>
    <row r="125" spans="1:40">
      <c r="A125" t="s">
        <v>211</v>
      </c>
      <c r="C125" s="69">
        <v>24</v>
      </c>
      <c r="D125" s="69">
        <v>24</v>
      </c>
      <c r="E125" s="69">
        <v>2</v>
      </c>
      <c r="F125" s="69">
        <v>2</v>
      </c>
      <c r="G125" s="69">
        <v>33</v>
      </c>
      <c r="H125" s="69">
        <v>33</v>
      </c>
      <c r="I125" s="69">
        <v>30</v>
      </c>
      <c r="J125" s="69">
        <v>30</v>
      </c>
      <c r="K125" s="69">
        <v>89</v>
      </c>
      <c r="L125" s="69">
        <v>89</v>
      </c>
      <c r="M125" s="69">
        <v>178</v>
      </c>
      <c r="P125" s="69">
        <v>19</v>
      </c>
      <c r="Q125" s="69">
        <v>19</v>
      </c>
      <c r="R125" s="69">
        <v>4</v>
      </c>
      <c r="S125" s="69">
        <v>4</v>
      </c>
      <c r="T125" s="74">
        <f t="shared" si="83"/>
        <v>2.849740932642487</v>
      </c>
      <c r="U125" s="74">
        <f t="shared" si="83"/>
        <v>2.849740932642487</v>
      </c>
      <c r="V125" s="69">
        <v>23</v>
      </c>
      <c r="W125" s="69">
        <v>23</v>
      </c>
      <c r="X125" s="69">
        <v>46</v>
      </c>
      <c r="AK125">
        <v>263.15710000000001</v>
      </c>
      <c r="AL125">
        <v>263.3263</v>
      </c>
      <c r="AM125">
        <v>652.92409999999995</v>
      </c>
      <c r="AN125">
        <v>649.42539999999997</v>
      </c>
    </row>
    <row r="126" spans="1:40">
      <c r="AK126">
        <v>263.78250000000003</v>
      </c>
      <c r="AL126">
        <v>263.52199999999999</v>
      </c>
      <c r="AM126">
        <v>655.89350000000002</v>
      </c>
      <c r="AN126">
        <v>647.83619999999996</v>
      </c>
    </row>
    <row r="127" spans="1:40">
      <c r="AK127">
        <v>264.4948</v>
      </c>
      <c r="AL127">
        <v>264.25319999999999</v>
      </c>
      <c r="AM127">
        <v>650.22400000000005</v>
      </c>
      <c r="AN127">
        <v>646.25300000000004</v>
      </c>
    </row>
    <row r="128" spans="1:40">
      <c r="AK128">
        <v>264.38010000000003</v>
      </c>
      <c r="AL128">
        <v>265.44740000000002</v>
      </c>
      <c r="AN128">
        <v>644.66999999999996</v>
      </c>
    </row>
    <row r="129" spans="27:38">
      <c r="AK129">
        <v>264.01859999999999</v>
      </c>
      <c r="AL129">
        <v>265.53899999999999</v>
      </c>
    </row>
    <row r="130" spans="27:38">
      <c r="AA130" s="32" t="s">
        <v>147</v>
      </c>
      <c r="AB130" s="32" t="s">
        <v>148</v>
      </c>
      <c r="AC130" s="32" t="s">
        <v>74</v>
      </c>
      <c r="AD130" s="32" t="s">
        <v>563</v>
      </c>
      <c r="AK130">
        <v>264.45800000000003</v>
      </c>
      <c r="AL130">
        <v>265.59870000000001</v>
      </c>
    </row>
    <row r="131" spans="27:38">
      <c r="AA131" t="s">
        <v>135</v>
      </c>
      <c r="AB131" t="s">
        <v>73</v>
      </c>
      <c r="AC131" s="75">
        <v>14267.0414</v>
      </c>
      <c r="AD131">
        <f>AC131/SUM($AC$131:$AC$132)</f>
        <v>0.4735987268619668</v>
      </c>
      <c r="AE131">
        <f>SUM(AD131:AD132)</f>
        <v>1</v>
      </c>
      <c r="AK131">
        <v>264.3426</v>
      </c>
      <c r="AL131">
        <v>265.5573</v>
      </c>
    </row>
    <row r="132" spans="27:38">
      <c r="AA132" t="s">
        <v>135</v>
      </c>
      <c r="AB132" t="s">
        <v>217</v>
      </c>
      <c r="AC132" s="75">
        <v>15857.7047</v>
      </c>
      <c r="AD132">
        <f>AC132/SUM($AC$131:$AC$132)</f>
        <v>0.5264012731380332</v>
      </c>
      <c r="AK132">
        <v>264.30790000000002</v>
      </c>
      <c r="AL132">
        <v>265.53140000000002</v>
      </c>
    </row>
    <row r="133" spans="27:38">
      <c r="AA133" t="s">
        <v>206</v>
      </c>
      <c r="AB133" t="s">
        <v>75</v>
      </c>
      <c r="AC133" s="75">
        <v>38657.855799999998</v>
      </c>
      <c r="AD133">
        <v>1</v>
      </c>
      <c r="AK133">
        <v>264.80329999999998</v>
      </c>
      <c r="AL133">
        <v>265.53230000000002</v>
      </c>
    </row>
    <row r="134" spans="27:38">
      <c r="AA134" t="s">
        <v>206</v>
      </c>
      <c r="AB134" t="s">
        <v>76</v>
      </c>
      <c r="AC134" s="75">
        <v>38408.5</v>
      </c>
      <c r="AD134">
        <v>1</v>
      </c>
      <c r="AK134">
        <v>264.80329999999998</v>
      </c>
      <c r="AL134">
        <v>265.58249999999998</v>
      </c>
    </row>
    <row r="135" spans="27:38">
      <c r="AA135" t="s">
        <v>206</v>
      </c>
      <c r="AB135" t="s">
        <v>220</v>
      </c>
      <c r="AC135" s="75">
        <v>31514.0893</v>
      </c>
      <c r="AD135">
        <v>1</v>
      </c>
      <c r="AK135">
        <v>264.80329999999998</v>
      </c>
      <c r="AL135">
        <v>265.4778</v>
      </c>
    </row>
    <row r="136" spans="27:38">
      <c r="AA136" t="s">
        <v>206</v>
      </c>
      <c r="AB136" t="s">
        <v>221</v>
      </c>
      <c r="AC136" s="75">
        <v>32098.9882</v>
      </c>
      <c r="AD136">
        <v>1</v>
      </c>
      <c r="AK136">
        <v>265.37630000000001</v>
      </c>
      <c r="AL136">
        <v>264.19540000000001</v>
      </c>
    </row>
    <row r="137" spans="27:38">
      <c r="AA137" t="s">
        <v>207</v>
      </c>
      <c r="AB137" t="s">
        <v>78</v>
      </c>
      <c r="AC137" s="75">
        <v>63163.374600000003</v>
      </c>
      <c r="AD137">
        <f>AC137/SUM($AC$137:$AC$139)</f>
        <v>0.3749310795992149</v>
      </c>
      <c r="AE137">
        <f>SUM(AD137:AD139)</f>
        <v>1</v>
      </c>
      <c r="AK137">
        <v>265.37630000000001</v>
      </c>
      <c r="AL137">
        <v>265.48930000000001</v>
      </c>
    </row>
    <row r="138" spans="27:38">
      <c r="AA138" t="s">
        <v>207</v>
      </c>
      <c r="AB138" t="s">
        <v>79</v>
      </c>
      <c r="AC138" s="75">
        <v>36231.236499999999</v>
      </c>
      <c r="AD138">
        <f t="shared" ref="AD138:AD139" si="84">AC138/SUM($AC$137:$AC$139)</f>
        <v>0.21506476976864181</v>
      </c>
      <c r="AK138">
        <v>265.37630000000001</v>
      </c>
      <c r="AL138">
        <v>265.2303</v>
      </c>
    </row>
    <row r="139" spans="27:38">
      <c r="AA139" t="s">
        <v>207</v>
      </c>
      <c r="AB139" t="s">
        <v>223</v>
      </c>
      <c r="AC139" s="75">
        <v>69072.016600000003</v>
      </c>
      <c r="AD139">
        <f t="shared" si="84"/>
        <v>0.41000415063214324</v>
      </c>
      <c r="AK139">
        <v>263.63299999999998</v>
      </c>
      <c r="AL139">
        <v>264.9914</v>
      </c>
    </row>
    <row r="140" spans="27:38">
      <c r="AA140" t="s">
        <v>208</v>
      </c>
      <c r="AB140" t="s">
        <v>85</v>
      </c>
      <c r="AC140" s="75">
        <v>4861.8494000000001</v>
      </c>
      <c r="AD140">
        <f>AC140/SUM($AC$140:$AC$142)</f>
        <v>0.50932407249705824</v>
      </c>
      <c r="AE140">
        <f>SUM(AD140:AD142)</f>
        <v>1</v>
      </c>
      <c r="AK140">
        <v>263.19029999999998</v>
      </c>
      <c r="AL140">
        <v>264.56079999999997</v>
      </c>
    </row>
    <row r="141" spans="27:38">
      <c r="AA141" t="s">
        <v>208</v>
      </c>
      <c r="AB141" t="s">
        <v>81</v>
      </c>
      <c r="AC141" s="75">
        <v>2430.8498</v>
      </c>
      <c r="AD141">
        <f>AC141/SUM($AC$140:$AC$142)</f>
        <v>0.25465418977491561</v>
      </c>
      <c r="AK141">
        <v>264.1825</v>
      </c>
      <c r="AL141">
        <v>265.35079999999999</v>
      </c>
    </row>
    <row r="142" spans="27:38">
      <c r="AA142" t="s">
        <v>208</v>
      </c>
      <c r="AB142" t="s">
        <v>82</v>
      </c>
      <c r="AC142" s="75">
        <v>2252.9902000000002</v>
      </c>
      <c r="AD142">
        <f>AC142/SUM($AC$140:$AC$142)</f>
        <v>0.23602173772802626</v>
      </c>
      <c r="AK142">
        <v>263.05619999999999</v>
      </c>
      <c r="AL142">
        <v>265.38589999999999</v>
      </c>
    </row>
    <row r="143" spans="27:38">
      <c r="AA143" t="s">
        <v>209</v>
      </c>
      <c r="AB143" t="s">
        <v>113</v>
      </c>
      <c r="AC143" s="75">
        <v>5756.5210999999999</v>
      </c>
      <c r="AD143">
        <f>AC143/SUM($AC$143:$AC$145)</f>
        <v>0.34334776653141269</v>
      </c>
      <c r="AE143">
        <f>SUM(AD143:AD145)</f>
        <v>1</v>
      </c>
      <c r="AK143">
        <v>263.01089999999999</v>
      </c>
      <c r="AL143">
        <v>265.15949999999998</v>
      </c>
    </row>
    <row r="144" spans="27:38">
      <c r="AA144" t="s">
        <v>209</v>
      </c>
      <c r="AB144" t="s">
        <v>114</v>
      </c>
      <c r="AC144" s="75">
        <v>5584.9350000000004</v>
      </c>
      <c r="AD144">
        <f t="shared" ref="AD144:AD145" si="85">AC144/SUM($AC$143:$AC$145)</f>
        <v>0.33311351164388425</v>
      </c>
      <c r="AK144">
        <v>264.36450000000002</v>
      </c>
      <c r="AL144">
        <v>265.40269999999998</v>
      </c>
    </row>
    <row r="145" spans="27:38">
      <c r="AA145" t="s">
        <v>209</v>
      </c>
      <c r="AB145" t="s">
        <v>115</v>
      </c>
      <c r="AC145" s="75">
        <v>5424.4053999999996</v>
      </c>
      <c r="AD145">
        <f t="shared" si="85"/>
        <v>0.32353872182470311</v>
      </c>
      <c r="AK145">
        <v>263.18360000000001</v>
      </c>
      <c r="AL145">
        <v>265.25900000000001</v>
      </c>
    </row>
    <row r="146" spans="27:38">
      <c r="AA146" t="s">
        <v>229</v>
      </c>
      <c r="AB146" t="s">
        <v>102</v>
      </c>
      <c r="AC146" s="75">
        <v>28051.338899999999</v>
      </c>
      <c r="AD146">
        <f>AC146/$AC$146</f>
        <v>1</v>
      </c>
      <c r="AE146">
        <f>SUM(AD146)</f>
        <v>1</v>
      </c>
      <c r="AK146">
        <v>263.02910000000003</v>
      </c>
      <c r="AL146">
        <v>265.23009999999999</v>
      </c>
    </row>
    <row r="147" spans="27:38">
      <c r="AA147" t="s">
        <v>211</v>
      </c>
      <c r="AB147" t="s">
        <v>105</v>
      </c>
      <c r="AC147" s="75">
        <v>15650.840399999999</v>
      </c>
      <c r="AD147">
        <f>AC147/SUM($AC$147:$AC$148)</f>
        <v>0.80490868986400721</v>
      </c>
      <c r="AE147">
        <f>SUM(AD147:AD148)</f>
        <v>1</v>
      </c>
      <c r="AK147">
        <v>263.04509999999999</v>
      </c>
      <c r="AL147">
        <v>265.24959999999999</v>
      </c>
    </row>
    <row r="148" spans="27:38">
      <c r="AA148" t="s">
        <v>211</v>
      </c>
      <c r="AB148" t="s">
        <v>106</v>
      </c>
      <c r="AC148" s="75">
        <v>3793.4029</v>
      </c>
      <c r="AD148">
        <f>AC148/SUM($AC$147:$AC$148)</f>
        <v>0.19509131013599282</v>
      </c>
      <c r="AK148">
        <v>263.1241</v>
      </c>
      <c r="AL148">
        <v>265.00060000000002</v>
      </c>
    </row>
    <row r="149" spans="27:38">
      <c r="AA149" t="s">
        <v>136</v>
      </c>
      <c r="AB149" t="s">
        <v>125</v>
      </c>
      <c r="AC149" s="75">
        <v>2617.3850000000002</v>
      </c>
      <c r="AD149">
        <f>AC149/SUM($AC$149:$AC$150)</f>
        <v>0.44699524620375919</v>
      </c>
      <c r="AE149">
        <f>SUM(AD149:AD150)</f>
        <v>0.99999999999999989</v>
      </c>
      <c r="AK149">
        <v>263.0609</v>
      </c>
      <c r="AL149">
        <v>263.95639999999997</v>
      </c>
    </row>
    <row r="150" spans="27:38">
      <c r="AA150" t="s">
        <v>136</v>
      </c>
      <c r="AB150" t="s">
        <v>126</v>
      </c>
      <c r="AC150" s="75">
        <v>3238.1246999999998</v>
      </c>
      <c r="AD150">
        <f>AC150/SUM($AC$149:$AC$150)</f>
        <v>0.5530047537962407</v>
      </c>
      <c r="AK150">
        <v>263.26960000000003</v>
      </c>
      <c r="AL150">
        <v>263.35599999999999</v>
      </c>
    </row>
    <row r="151" spans="27:38">
      <c r="AK151">
        <v>263.25670000000002</v>
      </c>
      <c r="AL151">
        <v>263.27480000000003</v>
      </c>
    </row>
    <row r="152" spans="27:38">
      <c r="AK152">
        <v>263.22179999999997</v>
      </c>
      <c r="AL152">
        <v>264.59930000000003</v>
      </c>
    </row>
    <row r="153" spans="27:38">
      <c r="AK153">
        <v>263.14269999999999</v>
      </c>
      <c r="AL153">
        <v>264.1114</v>
      </c>
    </row>
    <row r="154" spans="27:38">
      <c r="AK154">
        <v>263.28269999999998</v>
      </c>
      <c r="AL154">
        <v>264.56790000000001</v>
      </c>
    </row>
    <row r="155" spans="27:38">
      <c r="AK155">
        <v>263.08359999999999</v>
      </c>
      <c r="AL155">
        <v>264.10300000000001</v>
      </c>
    </row>
    <row r="156" spans="27:38">
      <c r="AK156">
        <v>263.1728</v>
      </c>
      <c r="AL156">
        <v>264.13679999999999</v>
      </c>
    </row>
    <row r="157" spans="27:38">
      <c r="AK157">
        <v>263.08359999999999</v>
      </c>
      <c r="AL157">
        <v>265.03250000000003</v>
      </c>
    </row>
    <row r="158" spans="27:38">
      <c r="AK158">
        <v>263.1728</v>
      </c>
      <c r="AL158">
        <v>263.67070000000001</v>
      </c>
    </row>
    <row r="159" spans="27:38">
      <c r="AK159">
        <v>263.01299999999998</v>
      </c>
      <c r="AL159">
        <v>264.59930000000003</v>
      </c>
    </row>
    <row r="160" spans="27:38">
      <c r="AK160">
        <v>263.08710000000002</v>
      </c>
      <c r="AL160">
        <v>264.1114</v>
      </c>
    </row>
    <row r="161" spans="37:38">
      <c r="AK161">
        <v>263.33159999999998</v>
      </c>
      <c r="AL161">
        <v>264.56790000000001</v>
      </c>
    </row>
    <row r="162" spans="37:38">
      <c r="AK162">
        <v>265.45819999999998</v>
      </c>
      <c r="AL162">
        <v>264.10300000000001</v>
      </c>
    </row>
    <row r="163" spans="37:38">
      <c r="AK163">
        <v>265.39909999999998</v>
      </c>
      <c r="AL163">
        <v>264.13679999999999</v>
      </c>
    </row>
    <row r="164" spans="37:38">
      <c r="AK164">
        <v>265.35759999999999</v>
      </c>
      <c r="AL164">
        <v>265.03250000000003</v>
      </c>
    </row>
    <row r="165" spans="37:38">
      <c r="AK165">
        <v>265.48480000000001</v>
      </c>
      <c r="AL165">
        <v>263.67070000000001</v>
      </c>
    </row>
    <row r="166" spans="37:38">
      <c r="AK166">
        <v>265.4966</v>
      </c>
      <c r="AL166">
        <v>263.78210000000001</v>
      </c>
    </row>
    <row r="167" spans="37:38">
      <c r="AK167">
        <v>265.44389999999999</v>
      </c>
      <c r="AL167">
        <v>262.28149999999999</v>
      </c>
    </row>
    <row r="168" spans="37:38">
      <c r="AK168">
        <v>265.4871</v>
      </c>
      <c r="AL168">
        <v>263.08690000000001</v>
      </c>
    </row>
    <row r="169" spans="37:38">
      <c r="AK169">
        <v>265.36009999999999</v>
      </c>
      <c r="AL169">
        <v>263.19619999999998</v>
      </c>
    </row>
    <row r="170" spans="37:38">
      <c r="AK170">
        <v>265.33390000000003</v>
      </c>
      <c r="AL170">
        <v>263.19619999999998</v>
      </c>
    </row>
    <row r="171" spans="37:38">
      <c r="AK171">
        <v>263.99829999999997</v>
      </c>
      <c r="AL171">
        <v>263.19619999999998</v>
      </c>
    </row>
    <row r="172" spans="37:38">
      <c r="AK172">
        <v>265.33260000000001</v>
      </c>
      <c r="AL172">
        <v>263.19619999999998</v>
      </c>
    </row>
    <row r="173" spans="37:38">
      <c r="AK173">
        <v>265.49009999999998</v>
      </c>
      <c r="AL173">
        <v>263.19619999999998</v>
      </c>
    </row>
    <row r="174" spans="37:38">
      <c r="AK174">
        <v>265.39690000000002</v>
      </c>
      <c r="AL174">
        <v>263.19619999999998</v>
      </c>
    </row>
    <row r="175" spans="37:38">
      <c r="AK175">
        <v>265.41719999999998</v>
      </c>
      <c r="AL175">
        <v>264.41059999999999</v>
      </c>
    </row>
    <row r="176" spans="37:38">
      <c r="AK176">
        <v>265.38510000000002</v>
      </c>
      <c r="AL176">
        <v>264.40190000000001</v>
      </c>
    </row>
    <row r="177" spans="37:40">
      <c r="AK177">
        <v>265.43380000000002</v>
      </c>
      <c r="AL177">
        <v>263.1893</v>
      </c>
    </row>
    <row r="178" spans="37:40">
      <c r="AL178">
        <v>263.76400000000001</v>
      </c>
    </row>
    <row r="179" spans="37:40">
      <c r="AL179">
        <v>263.76400000000001</v>
      </c>
    </row>
    <row r="180" spans="37:40">
      <c r="AL180">
        <v>263.76400000000001</v>
      </c>
    </row>
    <row r="181" spans="37:40">
      <c r="AL181">
        <v>263.33859999999999</v>
      </c>
    </row>
    <row r="182" spans="37:40">
      <c r="AL182">
        <v>263.40210000000002</v>
      </c>
    </row>
    <row r="183" spans="37:40">
      <c r="AL183">
        <v>263.28879999999998</v>
      </c>
    </row>
    <row r="189" spans="37:40">
      <c r="AK189">
        <f>SUM(AK124:AK188)</f>
        <v>14267.0414</v>
      </c>
      <c r="AL189">
        <f t="shared" ref="AL189:AN189" si="86">SUM(AL124:AL188)</f>
        <v>15857.704699999997</v>
      </c>
      <c r="AM189">
        <f t="shared" si="86"/>
        <v>2617.3850000000002</v>
      </c>
      <c r="AN189">
        <f t="shared" si="86"/>
        <v>3238.1246999999998</v>
      </c>
    </row>
    <row r="190" spans="37:40">
      <c r="AM190">
        <v>2617.3850000000002</v>
      </c>
      <c r="AN190">
        <v>3238.1246999999998</v>
      </c>
    </row>
  </sheetData>
  <mergeCells count="99">
    <mergeCell ref="C27:D27"/>
    <mergeCell ref="E27:F27"/>
    <mergeCell ref="B14:B15"/>
    <mergeCell ref="B16:B17"/>
    <mergeCell ref="B18:B19"/>
    <mergeCell ref="B20:B21"/>
    <mergeCell ref="B22:B23"/>
    <mergeCell ref="ED60:EE60"/>
    <mergeCell ref="M86:Z86"/>
    <mergeCell ref="AA86:AN86"/>
    <mergeCell ref="AO86:BB86"/>
    <mergeCell ref="BC86:BP86"/>
    <mergeCell ref="BQ86:CD86"/>
    <mergeCell ref="CE86:CR86"/>
    <mergeCell ref="CX86:DA86"/>
    <mergeCell ref="DB86:DE86"/>
    <mergeCell ref="DF86:DI86"/>
    <mergeCell ref="DJ86:DM86"/>
    <mergeCell ref="DN86:DQ86"/>
    <mergeCell ref="DR86:DU86"/>
    <mergeCell ref="DY86:DZ86"/>
    <mergeCell ref="ED86:EE86"/>
    <mergeCell ref="BQ60:CD60"/>
    <mergeCell ref="B6:C7"/>
    <mergeCell ref="D6:E6"/>
    <mergeCell ref="B8:B9"/>
    <mergeCell ref="B10:B11"/>
    <mergeCell ref="B12:B13"/>
    <mergeCell ref="C117:D117"/>
    <mergeCell ref="E117:F117"/>
    <mergeCell ref="G117:H117"/>
    <mergeCell ref="I117:J117"/>
    <mergeCell ref="K117:M117"/>
    <mergeCell ref="P117:Q117"/>
    <mergeCell ref="R117:S117"/>
    <mergeCell ref="T117:U117"/>
    <mergeCell ref="V117:X117"/>
    <mergeCell ref="G27:H27"/>
    <mergeCell ref="I27:J27"/>
    <mergeCell ref="K27:M27"/>
    <mergeCell ref="M60:Z60"/>
    <mergeCell ref="AK122:AN122"/>
    <mergeCell ref="DR60:DU60"/>
    <mergeCell ref="DY60:DZ60"/>
    <mergeCell ref="CE60:CR60"/>
    <mergeCell ref="CX60:DA60"/>
    <mergeCell ref="DB60:DE60"/>
    <mergeCell ref="DF60:DI60"/>
    <mergeCell ref="DJ60:DM60"/>
    <mergeCell ref="DN60:DQ60"/>
    <mergeCell ref="BC60:BP60"/>
    <mergeCell ref="AO60:BB60"/>
    <mergeCell ref="AA60:AN60"/>
    <mergeCell ref="BG26:BG43"/>
    <mergeCell ref="BH26:BH29"/>
    <mergeCell ref="BH30:BH31"/>
    <mergeCell ref="BH32:BH33"/>
    <mergeCell ref="BH34:BH35"/>
    <mergeCell ref="BH36:BH37"/>
    <mergeCell ref="BH38:BH39"/>
    <mergeCell ref="BH40:BH41"/>
    <mergeCell ref="BH42:BH43"/>
    <mergeCell ref="BP26:BP43"/>
    <mergeCell ref="BQ26:BQ29"/>
    <mergeCell ref="BQ30:BQ31"/>
    <mergeCell ref="BQ32:BQ33"/>
    <mergeCell ref="BQ34:BQ35"/>
    <mergeCell ref="BQ36:BQ37"/>
    <mergeCell ref="BQ38:BQ39"/>
    <mergeCell ref="BQ40:BQ41"/>
    <mergeCell ref="BQ42:BQ43"/>
    <mergeCell ref="AA4:AF4"/>
    <mergeCell ref="AG4:AH5"/>
    <mergeCell ref="AP4:AU4"/>
    <mergeCell ref="AV4:AW5"/>
    <mergeCell ref="AP5:AQ5"/>
    <mergeCell ref="AR5:AS5"/>
    <mergeCell ref="AT5:AU5"/>
    <mergeCell ref="AA5:AB5"/>
    <mergeCell ref="AC5:AD5"/>
    <mergeCell ref="AE5:AF5"/>
    <mergeCell ref="AI5:AK5"/>
    <mergeCell ref="BP25:BR25"/>
    <mergeCell ref="AV25:AW25"/>
    <mergeCell ref="AX25:AZ25"/>
    <mergeCell ref="AA25:AB25"/>
    <mergeCell ref="AI25:AK25"/>
    <mergeCell ref="AP25:AQ25"/>
    <mergeCell ref="AR25:AS25"/>
    <mergeCell ref="AT25:AU25"/>
    <mergeCell ref="AC25:AD25"/>
    <mergeCell ref="AE25:AF25"/>
    <mergeCell ref="AG25:AH25"/>
    <mergeCell ref="BG25:BI25"/>
    <mergeCell ref="AX5:AZ5"/>
    <mergeCell ref="AA12:AB12"/>
    <mergeCell ref="AC12:AD12"/>
    <mergeCell ref="AP12:AQ12"/>
    <mergeCell ref="AR12:AS12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C308"/>
  <sheetViews>
    <sheetView topLeftCell="A156" zoomScale="55" zoomScaleNormal="55" workbookViewId="0">
      <selection activeCell="AD167" sqref="AD167"/>
    </sheetView>
  </sheetViews>
  <sheetFormatPr defaultRowHeight="17"/>
  <cols>
    <col min="3" max="3" width="11.5" bestFit="1" customWidth="1"/>
    <col min="11" max="11" width="41.5" bestFit="1" customWidth="1"/>
    <col min="13" max="13" width="8.75" bestFit="1" customWidth="1"/>
    <col min="14" max="14" width="11.5" bestFit="1" customWidth="1"/>
    <col min="15" max="15" width="11.08203125" bestFit="1" customWidth="1"/>
    <col min="16" max="17" width="11.5" bestFit="1" customWidth="1"/>
    <col min="18" max="19" width="8.75" bestFit="1" customWidth="1"/>
    <col min="20" max="20" width="9.58203125" bestFit="1" customWidth="1"/>
    <col min="21" max="21" width="8.75" bestFit="1" customWidth="1"/>
    <col min="22" max="22" width="11.58203125" bestFit="1" customWidth="1"/>
    <col min="23" max="24" width="8.75" bestFit="1" customWidth="1"/>
    <col min="25" max="25" width="9.75" bestFit="1" customWidth="1"/>
    <col min="26" max="26" width="9.58203125" bestFit="1" customWidth="1"/>
    <col min="31" max="31" width="11.75" bestFit="1" customWidth="1"/>
    <col min="32" max="32" width="11" bestFit="1" customWidth="1"/>
    <col min="48" max="48" width="16.33203125" customWidth="1"/>
    <col min="49" max="49" width="13.08203125" bestFit="1" customWidth="1"/>
    <col min="56" max="56" width="16.33203125" bestFit="1" customWidth="1"/>
    <col min="83" max="84" width="7.58203125" bestFit="1" customWidth="1"/>
    <col min="85" max="87" width="9" bestFit="1" customWidth="1"/>
    <col min="88" max="88" width="13.75" bestFit="1" customWidth="1"/>
    <col min="89" max="89" width="9" bestFit="1" customWidth="1"/>
    <col min="90" max="90" width="11.75" bestFit="1" customWidth="1"/>
    <col min="91" max="91" width="10.25" bestFit="1" customWidth="1"/>
    <col min="92" max="92" width="6.58203125" bestFit="1" customWidth="1"/>
    <col min="93" max="94" width="7.08203125" bestFit="1" customWidth="1"/>
    <col min="95" max="95" width="5.5" bestFit="1" customWidth="1"/>
    <col min="96" max="96" width="7.58203125" bestFit="1" customWidth="1"/>
    <col min="101" max="101" width="18.08203125" bestFit="1" customWidth="1"/>
    <col min="127" max="128" width="19.58203125" bestFit="1" customWidth="1"/>
    <col min="133" max="133" width="19.58203125" bestFit="1" customWidth="1"/>
    <col min="136" max="136" width="19" bestFit="1" customWidth="1"/>
    <col min="137" max="137" width="19" customWidth="1"/>
    <col min="138" max="138" width="11.83203125" bestFit="1" customWidth="1"/>
  </cols>
  <sheetData>
    <row r="1" spans="1:56">
      <c r="A1" t="s">
        <v>847</v>
      </c>
    </row>
    <row r="2" spans="1:56">
      <c r="A2" s="32" t="s">
        <v>149</v>
      </c>
      <c r="B2" s="32" t="s">
        <v>846</v>
      </c>
    </row>
    <row r="4" spans="1:56" ht="20.5">
      <c r="A4" t="s">
        <v>0</v>
      </c>
      <c r="K4" t="s">
        <v>276</v>
      </c>
      <c r="M4" t="s">
        <v>257</v>
      </c>
      <c r="S4" t="s">
        <v>253</v>
      </c>
      <c r="AV4" s="364" t="s">
        <v>774</v>
      </c>
      <c r="BD4" s="364" t="s">
        <v>774</v>
      </c>
    </row>
    <row r="5" spans="1:56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  <c r="AV5" t="s">
        <v>773</v>
      </c>
    </row>
    <row r="6" spans="1:56" ht="17.25" customHeight="1" thickTop="1" thickBot="1">
      <c r="A6" s="573" t="s">
        <v>27</v>
      </c>
      <c r="B6" s="574"/>
      <c r="C6" s="1" t="s">
        <v>2</v>
      </c>
      <c r="D6" s="590" t="s">
        <v>5</v>
      </c>
      <c r="E6" s="574"/>
      <c r="F6" s="590" t="s">
        <v>7</v>
      </c>
      <c r="G6" s="591"/>
      <c r="H6" s="592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593" t="s">
        <v>175</v>
      </c>
      <c r="T6" s="594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71</v>
      </c>
      <c r="AG6" t="s">
        <v>72</v>
      </c>
      <c r="AL6" s="76" t="s">
        <v>244</v>
      </c>
      <c r="AN6" t="s">
        <v>245</v>
      </c>
      <c r="AV6" t="s">
        <v>777</v>
      </c>
      <c r="BD6" s="32" t="s">
        <v>778</v>
      </c>
    </row>
    <row r="7" spans="1:56" ht="18" thickTop="1" thickBot="1">
      <c r="A7" s="575"/>
      <c r="B7" s="576"/>
      <c r="C7" s="2" t="s">
        <v>3</v>
      </c>
      <c r="D7" s="595" t="s">
        <v>6</v>
      </c>
      <c r="E7" s="596"/>
      <c r="F7" s="595" t="s">
        <v>8</v>
      </c>
      <c r="G7" s="597"/>
      <c r="H7" s="598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599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3" t="s">
        <v>27</v>
      </c>
      <c r="AG7" s="574"/>
      <c r="AH7" s="1" t="s">
        <v>340</v>
      </c>
      <c r="AI7" s="579" t="s">
        <v>234</v>
      </c>
      <c r="AJ7" s="580"/>
      <c r="AK7" s="580"/>
      <c r="AL7" s="580"/>
      <c r="AM7" s="580"/>
      <c r="AN7" s="581"/>
      <c r="AS7" t="s">
        <v>775</v>
      </c>
      <c r="AT7" t="s">
        <v>776</v>
      </c>
      <c r="AV7" s="98"/>
      <c r="AW7" s="98" t="s">
        <v>764</v>
      </c>
      <c r="AX7" s="98" t="s">
        <v>765</v>
      </c>
      <c r="AY7" s="306" t="s">
        <v>766</v>
      </c>
      <c r="AZ7" s="98" t="s">
        <v>767</v>
      </c>
      <c r="BA7" s="98" t="s">
        <v>768</v>
      </c>
      <c r="BB7" s="98" t="s">
        <v>769</v>
      </c>
      <c r="BD7" s="368">
        <v>2.8500000000000001E-2</v>
      </c>
    </row>
    <row r="8" spans="1:56" ht="18" thickTop="1" thickBot="1">
      <c r="A8" s="577"/>
      <c r="B8" s="578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00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575"/>
      <c r="AG8" s="576"/>
      <c r="AH8" s="2" t="s">
        <v>3</v>
      </c>
      <c r="AI8" s="582" t="s">
        <v>341</v>
      </c>
      <c r="AJ8" s="583"/>
      <c r="AK8" s="584"/>
      <c r="AL8" s="582" t="s">
        <v>342</v>
      </c>
      <c r="AM8" s="583"/>
      <c r="AN8" s="585"/>
      <c r="AS8" s="97">
        <f>F21</f>
        <v>31679</v>
      </c>
      <c r="AT8">
        <v>2024</v>
      </c>
      <c r="AV8" s="98"/>
      <c r="AW8" s="98"/>
      <c r="AX8" s="369">
        <v>0</v>
      </c>
      <c r="AY8" s="370">
        <v>1</v>
      </c>
      <c r="AZ8" s="369">
        <v>2</v>
      </c>
      <c r="BA8" s="369">
        <v>3</v>
      </c>
      <c r="BB8" s="369">
        <v>4</v>
      </c>
    </row>
    <row r="9" spans="1:56" ht="18" thickTop="1" thickBot="1">
      <c r="A9" s="586" t="s">
        <v>12</v>
      </c>
      <c r="B9" s="587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00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7"/>
      <c r="AG9" s="578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  <c r="AV9" s="98" t="s">
        <v>770</v>
      </c>
      <c r="AW9" s="98">
        <v>100000</v>
      </c>
      <c r="AX9" s="365">
        <v>0.3</v>
      </c>
      <c r="AY9" s="366">
        <v>0.7</v>
      </c>
      <c r="AZ9" s="365">
        <v>0.85</v>
      </c>
      <c r="BA9" s="365">
        <v>0.95</v>
      </c>
      <c r="BB9" s="365">
        <v>1</v>
      </c>
    </row>
    <row r="10" spans="1:56" ht="16.5" customHeight="1" thickTop="1">
      <c r="A10" s="588" t="s">
        <v>13</v>
      </c>
      <c r="B10" s="58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1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586" t="s">
        <v>135</v>
      </c>
      <c r="AG10" s="587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  <c r="AV10" s="98" t="s">
        <v>771</v>
      </c>
      <c r="AW10" s="98">
        <v>50000</v>
      </c>
      <c r="AX10" s="365">
        <v>0.5</v>
      </c>
      <c r="AY10" s="366">
        <v>0.8</v>
      </c>
      <c r="AZ10" s="365">
        <v>0.9</v>
      </c>
      <c r="BA10" s="365">
        <v>1</v>
      </c>
      <c r="BB10" s="365">
        <v>1</v>
      </c>
    </row>
    <row r="11" spans="1:56">
      <c r="A11" s="588" t="s">
        <v>14</v>
      </c>
      <c r="B11" s="58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2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88" t="s">
        <v>136</v>
      </c>
      <c r="AG11" s="58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  <c r="AV11" s="306" t="s">
        <v>772</v>
      </c>
      <c r="AW11" s="306">
        <v>49999</v>
      </c>
      <c r="AX11" s="366">
        <v>0.7</v>
      </c>
      <c r="AY11" s="367">
        <v>0.9</v>
      </c>
      <c r="AZ11" s="366">
        <v>1</v>
      </c>
      <c r="BA11" s="366">
        <v>1</v>
      </c>
      <c r="BB11" s="366">
        <v>1</v>
      </c>
    </row>
    <row r="12" spans="1:56">
      <c r="A12" s="588" t="s">
        <v>15</v>
      </c>
      <c r="B12" s="58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1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88" t="s">
        <v>137</v>
      </c>
      <c r="AG12" s="58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56">
      <c r="A13" s="588" t="s">
        <v>16</v>
      </c>
      <c r="B13" s="58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2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88" t="s">
        <v>139</v>
      </c>
      <c r="AG13" s="58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56">
      <c r="A14" s="588" t="s">
        <v>17</v>
      </c>
      <c r="B14" s="58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1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88" t="s">
        <v>43</v>
      </c>
      <c r="AG14" s="58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56" ht="16.5" customHeight="1">
      <c r="A15" s="190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2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88" t="s">
        <v>141</v>
      </c>
      <c r="AG15" s="58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56">
      <c r="A16" s="189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1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190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89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2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189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03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189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88" t="s">
        <v>24</v>
      </c>
      <c r="B19" s="58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88" t="s">
        <v>25</v>
      </c>
      <c r="B20" s="58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88" t="s">
        <v>144</v>
      </c>
      <c r="AG20" s="58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4" t="s">
        <v>26</v>
      </c>
      <c r="B21" s="605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 t="e">
        <f>#REF!</f>
        <v>#REF!</v>
      </c>
      <c r="AF21" s="588" t="s">
        <v>146</v>
      </c>
      <c r="AG21" s="58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AF22" s="604" t="s">
        <v>26</v>
      </c>
      <c r="AG22" s="605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432</v>
      </c>
      <c r="Q24" s="76"/>
      <c r="S24" t="s">
        <v>245</v>
      </c>
    </row>
    <row r="25" spans="1:40" ht="17.5" thickTop="1">
      <c r="A25" s="573" t="s">
        <v>1</v>
      </c>
      <c r="B25" s="574"/>
      <c r="C25" s="1" t="s">
        <v>2</v>
      </c>
      <c r="D25" s="579" t="s">
        <v>29</v>
      </c>
      <c r="E25" s="580"/>
      <c r="F25" s="580"/>
      <c r="G25" s="580"/>
      <c r="H25" s="580"/>
      <c r="I25" s="581"/>
      <c r="K25" s="573" t="s">
        <v>27</v>
      </c>
      <c r="L25" s="574"/>
      <c r="M25" s="1" t="s">
        <v>2</v>
      </c>
      <c r="N25" s="579" t="s">
        <v>234</v>
      </c>
      <c r="O25" s="580"/>
      <c r="P25" s="580"/>
      <c r="Q25" s="580"/>
      <c r="R25" s="580"/>
      <c r="S25" s="581"/>
    </row>
    <row r="26" spans="1:40">
      <c r="A26" s="575"/>
      <c r="B26" s="576"/>
      <c r="C26" s="2" t="s">
        <v>3</v>
      </c>
      <c r="D26" s="582" t="s">
        <v>30</v>
      </c>
      <c r="E26" s="583"/>
      <c r="F26" s="584"/>
      <c r="G26" s="582" t="s">
        <v>31</v>
      </c>
      <c r="H26" s="583"/>
      <c r="I26" s="585"/>
      <c r="K26" s="575"/>
      <c r="L26" s="576"/>
      <c r="M26" s="2" t="s">
        <v>3</v>
      </c>
      <c r="N26" s="582" t="s">
        <v>30</v>
      </c>
      <c r="O26" s="583"/>
      <c r="P26" s="584"/>
      <c r="Q26" s="582" t="s">
        <v>31</v>
      </c>
      <c r="R26" s="583"/>
      <c r="S26" s="585"/>
      <c r="U26" t="s">
        <v>35</v>
      </c>
      <c r="W26" t="s">
        <v>38</v>
      </c>
    </row>
    <row r="27" spans="1:40" ht="17.5" thickBot="1">
      <c r="A27" s="577"/>
      <c r="B27" s="578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7"/>
      <c r="L27" s="578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</row>
    <row r="28" spans="1:40" ht="17.5" thickTop="1">
      <c r="A28" s="586" t="s">
        <v>12</v>
      </c>
      <c r="B28" s="587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586" t="s">
        <v>135</v>
      </c>
      <c r="L28" s="587"/>
      <c r="M28" s="6">
        <v>53</v>
      </c>
      <c r="N28" s="6">
        <f>AI10/2</f>
        <v>170</v>
      </c>
      <c r="O28" s="6"/>
      <c r="P28" s="6">
        <f>N28+O28</f>
        <v>170</v>
      </c>
      <c r="Q28" s="6">
        <f>AL10/2</f>
        <v>170</v>
      </c>
      <c r="R28" s="6"/>
      <c r="S28" s="6">
        <f>Q28+R28</f>
        <v>170</v>
      </c>
      <c r="V28">
        <v>2029</v>
      </c>
      <c r="W28">
        <v>2.5499999999999998</v>
      </c>
    </row>
    <row r="29" spans="1:40">
      <c r="A29" s="588" t="s">
        <v>13</v>
      </c>
      <c r="B29" s="58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88" t="s">
        <v>136</v>
      </c>
      <c r="L29" s="589"/>
      <c r="M29" s="8">
        <v>15360</v>
      </c>
      <c r="N29" s="9">
        <f t="shared" ref="N29:N40" si="0">AI11/2</f>
        <v>138</v>
      </c>
      <c r="O29" s="8"/>
      <c r="P29" s="8">
        <f t="shared" ref="P29:P40" si="1">N29+O29</f>
        <v>138</v>
      </c>
      <c r="Q29" s="9">
        <f t="shared" ref="Q29:Q40" si="2">AL11/2</f>
        <v>135</v>
      </c>
      <c r="R29" s="8"/>
      <c r="S29" s="11">
        <f t="shared" ref="S29:S40" si="3">Q29+R29</f>
        <v>135</v>
      </c>
      <c r="U29" t="s">
        <v>37</v>
      </c>
      <c r="V29">
        <v>2025</v>
      </c>
      <c r="W29">
        <v>2</v>
      </c>
    </row>
    <row r="30" spans="1:40">
      <c r="A30" s="588" t="s">
        <v>14</v>
      </c>
      <c r="B30" s="58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88" t="s">
        <v>137</v>
      </c>
      <c r="L30" s="589"/>
      <c r="M30" s="8">
        <v>88536</v>
      </c>
      <c r="N30" s="8">
        <f t="shared" si="0"/>
        <v>1028</v>
      </c>
      <c r="O30" s="8"/>
      <c r="P30" s="8">
        <f t="shared" si="1"/>
        <v>1028</v>
      </c>
      <c r="Q30" s="8">
        <f t="shared" si="2"/>
        <v>1011</v>
      </c>
      <c r="R30" s="8"/>
      <c r="S30" s="11">
        <f t="shared" si="3"/>
        <v>1011</v>
      </c>
      <c r="V30">
        <v>2029</v>
      </c>
      <c r="W30">
        <v>2</v>
      </c>
    </row>
    <row r="31" spans="1:40">
      <c r="A31" s="588" t="s">
        <v>15</v>
      </c>
      <c r="B31" s="58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88" t="s">
        <v>139</v>
      </c>
      <c r="L31" s="589"/>
      <c r="M31" s="8">
        <v>835928</v>
      </c>
      <c r="N31" s="8">
        <f t="shared" si="0"/>
        <v>29007</v>
      </c>
      <c r="O31" s="8"/>
      <c r="P31" s="8">
        <f t="shared" si="1"/>
        <v>29007</v>
      </c>
      <c r="Q31" s="8">
        <f t="shared" si="2"/>
        <v>28532</v>
      </c>
      <c r="R31" s="8"/>
      <c r="S31" s="11">
        <f t="shared" si="3"/>
        <v>28532</v>
      </c>
    </row>
    <row r="32" spans="1:40">
      <c r="A32" s="588" t="s">
        <v>16</v>
      </c>
      <c r="B32" s="58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88" t="s">
        <v>43</v>
      </c>
      <c r="L32" s="589"/>
      <c r="M32" s="8">
        <v>114912</v>
      </c>
      <c r="N32" s="8">
        <f t="shared" si="0"/>
        <v>3144</v>
      </c>
      <c r="O32" s="8"/>
      <c r="P32" s="8">
        <f t="shared" si="1"/>
        <v>3144</v>
      </c>
      <c r="Q32" s="8">
        <f t="shared" si="2"/>
        <v>3092</v>
      </c>
      <c r="R32" s="8"/>
      <c r="S32" s="11">
        <f t="shared" si="3"/>
        <v>3092</v>
      </c>
    </row>
    <row r="33" spans="1:159">
      <c r="A33" s="588" t="s">
        <v>17</v>
      </c>
      <c r="B33" s="58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88" t="s">
        <v>141</v>
      </c>
      <c r="L33" s="589"/>
      <c r="M33" s="8">
        <v>265206</v>
      </c>
      <c r="N33" s="8">
        <f t="shared" si="0"/>
        <v>2684</v>
      </c>
      <c r="O33" s="8"/>
      <c r="P33" s="8">
        <f t="shared" si="1"/>
        <v>2684</v>
      </c>
      <c r="Q33" s="8">
        <f t="shared" si="2"/>
        <v>2640</v>
      </c>
      <c r="R33" s="8"/>
      <c r="S33" s="11">
        <f t="shared" si="3"/>
        <v>2640</v>
      </c>
    </row>
    <row r="34" spans="1:159">
      <c r="A34" s="190" t="s">
        <v>18</v>
      </c>
      <c r="B34" s="15" t="s">
        <v>21</v>
      </c>
      <c r="C34" s="8">
        <v>195776</v>
      </c>
      <c r="D34" s="8">
        <v>2659</v>
      </c>
      <c r="E34" s="8">
        <v>9370</v>
      </c>
      <c r="F34" s="8">
        <v>12029</v>
      </c>
      <c r="G34" s="8">
        <v>2659</v>
      </c>
      <c r="H34" s="8">
        <v>9366</v>
      </c>
      <c r="I34" s="11">
        <v>12025</v>
      </c>
      <c r="J34" s="33" t="s">
        <v>120</v>
      </c>
      <c r="K34" s="190" t="s">
        <v>142</v>
      </c>
      <c r="L34" s="15" t="s">
        <v>21</v>
      </c>
      <c r="M34" s="8">
        <v>195776</v>
      </c>
      <c r="N34" s="8">
        <f>AI16/2</f>
        <v>3446</v>
      </c>
      <c r="O34" s="8"/>
      <c r="P34" s="8">
        <f t="shared" si="1"/>
        <v>3446</v>
      </c>
      <c r="Q34" s="8">
        <f t="shared" si="2"/>
        <v>3390</v>
      </c>
      <c r="R34" s="8"/>
      <c r="S34" s="11">
        <f t="shared" si="3"/>
        <v>3390</v>
      </c>
    </row>
    <row r="35" spans="1:159">
      <c r="A35" s="189" t="s">
        <v>19</v>
      </c>
      <c r="B35" s="15" t="s">
        <v>14</v>
      </c>
      <c r="C35" s="8">
        <v>68522</v>
      </c>
      <c r="D35" s="9">
        <v>614</v>
      </c>
      <c r="E35" s="8">
        <v>4451</v>
      </c>
      <c r="F35" s="8">
        <v>5065</v>
      </c>
      <c r="G35" s="9">
        <v>614</v>
      </c>
      <c r="H35" s="8">
        <v>4449</v>
      </c>
      <c r="I35" s="11">
        <v>5063</v>
      </c>
      <c r="J35" s="33"/>
      <c r="K35" s="189" t="s">
        <v>19</v>
      </c>
      <c r="L35" s="15" t="s">
        <v>14</v>
      </c>
      <c r="M35" s="8">
        <v>68522</v>
      </c>
      <c r="N35" s="8">
        <f t="shared" si="0"/>
        <v>796</v>
      </c>
      <c r="O35" s="8"/>
      <c r="P35" s="8">
        <f t="shared" si="1"/>
        <v>796</v>
      </c>
      <c r="Q35" s="8">
        <f t="shared" si="2"/>
        <v>783</v>
      </c>
      <c r="R35" s="8"/>
      <c r="S35" s="11">
        <f t="shared" si="3"/>
        <v>783</v>
      </c>
    </row>
    <row r="36" spans="1:159" ht="25">
      <c r="A36" s="189" t="s">
        <v>20</v>
      </c>
      <c r="B36" s="15" t="s">
        <v>13</v>
      </c>
      <c r="C36" s="8">
        <v>68522</v>
      </c>
      <c r="D36" s="9">
        <v>472</v>
      </c>
      <c r="E36" s="8">
        <v>3997</v>
      </c>
      <c r="F36" s="8">
        <v>4469</v>
      </c>
      <c r="G36" s="9">
        <v>472</v>
      </c>
      <c r="H36" s="8">
        <v>3995</v>
      </c>
      <c r="I36" s="11">
        <v>4467</v>
      </c>
      <c r="J36" s="33"/>
      <c r="K36" s="189" t="s">
        <v>20</v>
      </c>
      <c r="L36" s="15" t="s">
        <v>13</v>
      </c>
      <c r="M36" s="8">
        <v>68522</v>
      </c>
      <c r="N36" s="8">
        <f t="shared" si="0"/>
        <v>612</v>
      </c>
      <c r="O36" s="8"/>
      <c r="P36" s="8">
        <f t="shared" si="1"/>
        <v>612</v>
      </c>
      <c r="Q36" s="8">
        <f t="shared" si="2"/>
        <v>602</v>
      </c>
      <c r="R36" s="8"/>
      <c r="S36" s="11">
        <f t="shared" si="3"/>
        <v>602</v>
      </c>
    </row>
    <row r="37" spans="1:159">
      <c r="A37" s="14"/>
      <c r="B37" s="15" t="s">
        <v>23</v>
      </c>
      <c r="C37" s="8">
        <v>58733</v>
      </c>
      <c r="D37" s="8">
        <v>1573</v>
      </c>
      <c r="E37" s="9">
        <v>922</v>
      </c>
      <c r="F37" s="8">
        <v>2495</v>
      </c>
      <c r="G37" s="8">
        <v>1573</v>
      </c>
      <c r="H37" s="9">
        <v>922</v>
      </c>
      <c r="I37" s="11">
        <v>2495</v>
      </c>
      <c r="J37" s="33"/>
      <c r="K37" s="14"/>
      <c r="L37" s="15" t="s">
        <v>23</v>
      </c>
      <c r="M37" s="8">
        <v>58733</v>
      </c>
      <c r="N37" s="8">
        <f t="shared" si="0"/>
        <v>2038</v>
      </c>
      <c r="O37" s="8"/>
      <c r="P37" s="8">
        <f t="shared" si="1"/>
        <v>2038</v>
      </c>
      <c r="Q37" s="8">
        <f t="shared" si="2"/>
        <v>2005</v>
      </c>
      <c r="R37" s="8"/>
      <c r="S37" s="11">
        <f t="shared" si="3"/>
        <v>2005</v>
      </c>
      <c r="EA37" s="32" t="s">
        <v>864</v>
      </c>
    </row>
    <row r="38" spans="1:159">
      <c r="A38" s="588" t="s">
        <v>24</v>
      </c>
      <c r="B38" s="589"/>
      <c r="C38" s="8">
        <v>76980</v>
      </c>
      <c r="D38" s="9">
        <v>842</v>
      </c>
      <c r="E38" s="8">
        <v>2864</v>
      </c>
      <c r="F38" s="8">
        <v>3706</v>
      </c>
      <c r="G38" s="9">
        <v>842</v>
      </c>
      <c r="H38" s="8">
        <v>2863</v>
      </c>
      <c r="I38" s="11">
        <v>3705</v>
      </c>
      <c r="J38" s="33" t="s">
        <v>124</v>
      </c>
      <c r="K38" s="588" t="s">
        <v>144</v>
      </c>
      <c r="L38" s="589"/>
      <c r="M38" s="8">
        <v>76980</v>
      </c>
      <c r="N38" s="8">
        <f t="shared" si="0"/>
        <v>1091</v>
      </c>
      <c r="O38" s="8"/>
      <c r="P38" s="8">
        <f t="shared" si="1"/>
        <v>1091</v>
      </c>
      <c r="Q38" s="8">
        <f t="shared" si="2"/>
        <v>1073</v>
      </c>
      <c r="R38" s="8"/>
      <c r="S38" s="11">
        <f t="shared" si="3"/>
        <v>1073</v>
      </c>
      <c r="Z38" s="403"/>
      <c r="AA38" s="32" t="s">
        <v>852</v>
      </c>
      <c r="DZ38" s="279"/>
      <c r="EA38" s="279" t="s">
        <v>602</v>
      </c>
    </row>
    <row r="39" spans="1:159">
      <c r="A39" s="588" t="s">
        <v>25</v>
      </c>
      <c r="B39" s="589"/>
      <c r="C39" s="8">
        <v>11571</v>
      </c>
      <c r="D39" s="9">
        <v>265</v>
      </c>
      <c r="E39" s="8">
        <v>2250</v>
      </c>
      <c r="F39" s="8">
        <v>2515</v>
      </c>
      <c r="G39" s="9">
        <v>265</v>
      </c>
      <c r="H39" s="8">
        <v>2249</v>
      </c>
      <c r="I39" s="11">
        <v>2514</v>
      </c>
      <c r="J39" s="33" t="s">
        <v>129</v>
      </c>
      <c r="K39" s="588" t="s">
        <v>145</v>
      </c>
      <c r="L39" s="589"/>
      <c r="M39" s="8">
        <v>11571</v>
      </c>
      <c r="N39" s="9">
        <f t="shared" si="0"/>
        <v>344</v>
      </c>
      <c r="O39" s="8"/>
      <c r="P39" s="8">
        <f t="shared" si="1"/>
        <v>344</v>
      </c>
      <c r="Q39" s="9">
        <f t="shared" si="2"/>
        <v>338</v>
      </c>
      <c r="R39" s="8"/>
      <c r="S39" s="11">
        <f t="shared" si="3"/>
        <v>338</v>
      </c>
      <c r="DZ39" s="279" t="s">
        <v>603</v>
      </c>
      <c r="EA39" s="293">
        <v>1</v>
      </c>
    </row>
    <row r="40" spans="1:159" ht="17.5" thickBot="1">
      <c r="A40" s="604" t="s">
        <v>26</v>
      </c>
      <c r="B40" s="605"/>
      <c r="C40" s="16" t="s">
        <v>22</v>
      </c>
      <c r="D40" s="17">
        <v>31679</v>
      </c>
      <c r="E40" s="17">
        <v>35570</v>
      </c>
      <c r="F40" s="17">
        <v>67249</v>
      </c>
      <c r="G40" s="17">
        <v>31679</v>
      </c>
      <c r="H40" s="17">
        <v>35557</v>
      </c>
      <c r="I40" s="18">
        <v>67236</v>
      </c>
      <c r="K40" s="604" t="s">
        <v>26</v>
      </c>
      <c r="L40" s="605"/>
      <c r="M40" s="16" t="s">
        <v>22</v>
      </c>
      <c r="N40" s="17">
        <f t="shared" si="0"/>
        <v>41052</v>
      </c>
      <c r="O40" s="17"/>
      <c r="P40" s="17">
        <f t="shared" si="1"/>
        <v>41052</v>
      </c>
      <c r="Q40" s="17">
        <f t="shared" si="2"/>
        <v>40381</v>
      </c>
      <c r="R40" s="17"/>
      <c r="S40" s="18">
        <f t="shared" si="3"/>
        <v>40381</v>
      </c>
    </row>
    <row r="41" spans="1:159" ht="26" thickTop="1">
      <c r="A41" s="204"/>
      <c r="B41" s="19"/>
      <c r="C41" s="20"/>
      <c r="D41" s="21"/>
      <c r="E41" s="21"/>
      <c r="F41" s="21"/>
      <c r="G41" s="21"/>
      <c r="H41" s="21"/>
      <c r="I41" s="21"/>
      <c r="K41" s="19"/>
      <c r="L41" s="19"/>
      <c r="M41" s="20"/>
      <c r="N41" s="21"/>
      <c r="O41" s="21"/>
      <c r="P41" s="21"/>
      <c r="Q41" s="21"/>
      <c r="R41" s="21"/>
      <c r="S41" s="21"/>
      <c r="CS41" t="s">
        <v>488</v>
      </c>
      <c r="CV41" t="s">
        <v>561</v>
      </c>
    </row>
    <row r="42" spans="1:159" s="227" customFormat="1" ht="25.5">
      <c r="A42" s="285">
        <v>2025</v>
      </c>
      <c r="B42" s="282"/>
      <c r="C42" s="283"/>
      <c r="D42" s="284"/>
      <c r="E42" s="284"/>
      <c r="F42" s="284"/>
      <c r="G42" s="284"/>
      <c r="H42" s="284"/>
      <c r="I42" s="284"/>
      <c r="K42" s="282"/>
      <c r="L42" s="282"/>
      <c r="M42" s="283"/>
      <c r="N42" s="284"/>
      <c r="O42" s="284"/>
      <c r="P42" s="284"/>
      <c r="Q42" s="284"/>
      <c r="R42" s="284"/>
      <c r="S42" s="284"/>
    </row>
    <row r="43" spans="1:159" ht="23.5" thickBot="1">
      <c r="A43" s="32" t="s">
        <v>469</v>
      </c>
      <c r="C43" t="s">
        <v>464</v>
      </c>
      <c r="D43" t="s">
        <v>468</v>
      </c>
      <c r="E43" t="s">
        <v>471</v>
      </c>
      <c r="F43" t="s">
        <v>466</v>
      </c>
      <c r="G43" t="s">
        <v>467</v>
      </c>
      <c r="H43" t="s">
        <v>21</v>
      </c>
      <c r="K43" s="32" t="s">
        <v>472</v>
      </c>
      <c r="CR43" t="s">
        <v>901</v>
      </c>
      <c r="CV43" s="32" t="s">
        <v>493</v>
      </c>
      <c r="CY43" t="s">
        <v>479</v>
      </c>
      <c r="CZ43" t="s">
        <v>480</v>
      </c>
      <c r="EC43" s="353" t="s">
        <v>858</v>
      </c>
      <c r="EM43" s="353" t="s">
        <v>828</v>
      </c>
      <c r="EV43" s="353"/>
    </row>
    <row r="44" spans="1:159" ht="17.5" thickBot="1">
      <c r="A44" t="s">
        <v>463</v>
      </c>
      <c r="C44" t="s">
        <v>427</v>
      </c>
      <c r="D44" t="s">
        <v>428</v>
      </c>
      <c r="E44" t="s">
        <v>429</v>
      </c>
      <c r="F44" t="s">
        <v>430</v>
      </c>
      <c r="G44" t="s">
        <v>431</v>
      </c>
      <c r="H44" t="s">
        <v>457</v>
      </c>
      <c r="K44" s="159" t="s">
        <v>483</v>
      </c>
      <c r="L44" s="159"/>
      <c r="M44" s="567" t="s">
        <v>464</v>
      </c>
      <c r="N44" s="568"/>
      <c r="O44" s="568"/>
      <c r="P44" s="568"/>
      <c r="Q44" s="568"/>
      <c r="R44" s="568"/>
      <c r="S44" s="568"/>
      <c r="T44" s="568"/>
      <c r="U44" s="568"/>
      <c r="V44" s="568"/>
      <c r="W44" s="568"/>
      <c r="X44" s="568"/>
      <c r="Y44" s="568"/>
      <c r="Z44" s="569"/>
      <c r="AA44" s="567" t="s">
        <v>468</v>
      </c>
      <c r="AB44" s="568"/>
      <c r="AC44" s="568"/>
      <c r="AD44" s="568"/>
      <c r="AE44" s="568"/>
      <c r="AF44" s="568"/>
      <c r="AG44" s="568"/>
      <c r="AH44" s="568"/>
      <c r="AI44" s="568"/>
      <c r="AJ44" s="568"/>
      <c r="AK44" s="568"/>
      <c r="AL44" s="568"/>
      <c r="AM44" s="568"/>
      <c r="AN44" s="569"/>
      <c r="AO44" s="567" t="s">
        <v>465</v>
      </c>
      <c r="AP44" s="568"/>
      <c r="AQ44" s="568"/>
      <c r="AR44" s="568"/>
      <c r="AS44" s="568"/>
      <c r="AT44" s="568"/>
      <c r="AU44" s="568"/>
      <c r="AV44" s="568"/>
      <c r="AW44" s="568"/>
      <c r="AX44" s="568"/>
      <c r="AY44" s="568"/>
      <c r="AZ44" s="568"/>
      <c r="BA44" s="568"/>
      <c r="BB44" s="569"/>
      <c r="BC44" s="567" t="s">
        <v>466</v>
      </c>
      <c r="BD44" s="568"/>
      <c r="BE44" s="568"/>
      <c r="BF44" s="568"/>
      <c r="BG44" s="568"/>
      <c r="BH44" s="568"/>
      <c r="BI44" s="568"/>
      <c r="BJ44" s="568"/>
      <c r="BK44" s="568"/>
      <c r="BL44" s="568"/>
      <c r="BM44" s="568"/>
      <c r="BN44" s="568"/>
      <c r="BO44" s="568"/>
      <c r="BP44" s="569"/>
      <c r="BQ44" s="567" t="s">
        <v>467</v>
      </c>
      <c r="BR44" s="568"/>
      <c r="BS44" s="568"/>
      <c r="BT44" s="568"/>
      <c r="BU44" s="568"/>
      <c r="BV44" s="568"/>
      <c r="BW44" s="568"/>
      <c r="BX44" s="568"/>
      <c r="BY44" s="568"/>
      <c r="BZ44" s="568"/>
      <c r="CA44" s="568"/>
      <c r="CB44" s="568"/>
      <c r="CC44" s="568"/>
      <c r="CD44" s="569"/>
      <c r="CE44" s="567" t="s">
        <v>21</v>
      </c>
      <c r="CF44" s="568"/>
      <c r="CG44" s="568"/>
      <c r="CH44" s="568"/>
      <c r="CI44" s="568"/>
      <c r="CJ44" s="568"/>
      <c r="CK44" s="568"/>
      <c r="CL44" s="568"/>
      <c r="CM44" s="568"/>
      <c r="CN44" s="568"/>
      <c r="CO44" s="568"/>
      <c r="CP44" s="568"/>
      <c r="CQ44" s="568"/>
      <c r="CR44" s="569"/>
      <c r="CV44" s="263" t="s">
        <v>483</v>
      </c>
      <c r="CW44" s="263"/>
      <c r="CX44" s="570" t="s">
        <v>555</v>
      </c>
      <c r="CY44" s="570"/>
      <c r="CZ44" s="570"/>
      <c r="DA44" s="570"/>
      <c r="DB44" s="571" t="s">
        <v>554</v>
      </c>
      <c r="DC44" s="570"/>
      <c r="DD44" s="570"/>
      <c r="DE44" s="570"/>
      <c r="DF44" s="571" t="s">
        <v>465</v>
      </c>
      <c r="DG44" s="570"/>
      <c r="DH44" s="570"/>
      <c r="DI44" s="570"/>
      <c r="DJ44" s="571" t="s">
        <v>466</v>
      </c>
      <c r="DK44" s="570"/>
      <c r="DL44" s="570"/>
      <c r="DM44" s="570"/>
      <c r="DN44" s="571" t="s">
        <v>467</v>
      </c>
      <c r="DO44" s="570"/>
      <c r="DP44" s="570"/>
      <c r="DQ44" s="570"/>
      <c r="DR44" s="571" t="s">
        <v>21</v>
      </c>
      <c r="DS44" s="570"/>
      <c r="DT44" s="570"/>
      <c r="DU44" s="570"/>
      <c r="DW44" s="278"/>
      <c r="DX44" s="278"/>
      <c r="DY44" s="444" t="s">
        <v>589</v>
      </c>
      <c r="DZ44" s="444"/>
      <c r="EI44" t="s">
        <v>600</v>
      </c>
      <c r="ES44" t="s">
        <v>600</v>
      </c>
    </row>
    <row r="45" spans="1:159" ht="17.149999999999999" customHeight="1">
      <c r="A45" s="199"/>
      <c r="B45" s="199"/>
      <c r="C45" s="202" t="s">
        <v>464</v>
      </c>
      <c r="D45" s="202" t="s">
        <v>468</v>
      </c>
      <c r="E45" s="202" t="s">
        <v>465</v>
      </c>
      <c r="F45" s="202" t="s">
        <v>466</v>
      </c>
      <c r="G45" s="202" t="s">
        <v>467</v>
      </c>
      <c r="H45" s="202" t="s">
        <v>21</v>
      </c>
      <c r="K45" s="159"/>
      <c r="L45" s="159"/>
      <c r="M45" s="211" t="s">
        <v>473</v>
      </c>
      <c r="N45" s="160" t="s">
        <v>156</v>
      </c>
      <c r="O45" s="160" t="s">
        <v>476</v>
      </c>
      <c r="P45" s="160" t="s">
        <v>477</v>
      </c>
      <c r="Q45" s="160" t="s">
        <v>478</v>
      </c>
      <c r="R45" s="160" t="s">
        <v>479</v>
      </c>
      <c r="S45" s="160" t="s">
        <v>480</v>
      </c>
      <c r="T45" s="160" t="s">
        <v>481</v>
      </c>
      <c r="U45" s="160" t="s">
        <v>449</v>
      </c>
      <c r="V45" s="160" t="s">
        <v>157</v>
      </c>
      <c r="W45" s="160" t="s">
        <v>474</v>
      </c>
      <c r="X45" s="160" t="s">
        <v>475</v>
      </c>
      <c r="Y45" s="160" t="s">
        <v>46</v>
      </c>
      <c r="Z45" s="212" t="s">
        <v>11</v>
      </c>
      <c r="AA45" s="211" t="s">
        <v>473</v>
      </c>
      <c r="AB45" s="160" t="s">
        <v>156</v>
      </c>
      <c r="AC45" s="160" t="s">
        <v>476</v>
      </c>
      <c r="AD45" s="160" t="s">
        <v>477</v>
      </c>
      <c r="AE45" s="160" t="s">
        <v>478</v>
      </c>
      <c r="AF45" s="160" t="s">
        <v>479</v>
      </c>
      <c r="AG45" s="160" t="s">
        <v>480</v>
      </c>
      <c r="AH45" s="160" t="s">
        <v>481</v>
      </c>
      <c r="AI45" s="160" t="s">
        <v>449</v>
      </c>
      <c r="AJ45" s="160" t="s">
        <v>157</v>
      </c>
      <c r="AK45" s="160" t="s">
        <v>474</v>
      </c>
      <c r="AL45" s="160" t="s">
        <v>475</v>
      </c>
      <c r="AM45" s="160" t="s">
        <v>46</v>
      </c>
      <c r="AN45" s="212" t="s">
        <v>11</v>
      </c>
      <c r="AO45" s="211" t="s">
        <v>473</v>
      </c>
      <c r="AP45" s="160" t="s">
        <v>156</v>
      </c>
      <c r="AQ45" s="160" t="s">
        <v>476</v>
      </c>
      <c r="AR45" s="160" t="s">
        <v>477</v>
      </c>
      <c r="AS45" s="160" t="s">
        <v>478</v>
      </c>
      <c r="AT45" s="160" t="s">
        <v>479</v>
      </c>
      <c r="AU45" s="160" t="s">
        <v>480</v>
      </c>
      <c r="AV45" s="160" t="s">
        <v>481</v>
      </c>
      <c r="AW45" s="160" t="s">
        <v>449</v>
      </c>
      <c r="AX45" s="160" t="s">
        <v>157</v>
      </c>
      <c r="AY45" s="160" t="s">
        <v>474</v>
      </c>
      <c r="AZ45" s="160" t="s">
        <v>475</v>
      </c>
      <c r="BA45" s="160" t="s">
        <v>46</v>
      </c>
      <c r="BB45" s="212" t="s">
        <v>11</v>
      </c>
      <c r="BC45" s="211" t="s">
        <v>473</v>
      </c>
      <c r="BD45" s="160" t="s">
        <v>156</v>
      </c>
      <c r="BE45" s="160" t="s">
        <v>476</v>
      </c>
      <c r="BF45" s="160" t="s">
        <v>477</v>
      </c>
      <c r="BG45" s="160" t="s">
        <v>478</v>
      </c>
      <c r="BH45" s="160" t="s">
        <v>479</v>
      </c>
      <c r="BI45" s="160" t="s">
        <v>480</v>
      </c>
      <c r="BJ45" s="160" t="s">
        <v>481</v>
      </c>
      <c r="BK45" s="160" t="s">
        <v>449</v>
      </c>
      <c r="BL45" s="160" t="s">
        <v>157</v>
      </c>
      <c r="BM45" s="160" t="s">
        <v>474</v>
      </c>
      <c r="BN45" s="160" t="s">
        <v>475</v>
      </c>
      <c r="BO45" s="160" t="s">
        <v>46</v>
      </c>
      <c r="BP45" s="212" t="s">
        <v>11</v>
      </c>
      <c r="BQ45" s="211" t="s">
        <v>473</v>
      </c>
      <c r="BR45" s="160" t="s">
        <v>156</v>
      </c>
      <c r="BS45" s="160" t="s">
        <v>476</v>
      </c>
      <c r="BT45" s="160" t="s">
        <v>477</v>
      </c>
      <c r="BU45" s="160" t="s">
        <v>478</v>
      </c>
      <c r="BV45" s="160" t="s">
        <v>479</v>
      </c>
      <c r="BW45" s="160" t="s">
        <v>480</v>
      </c>
      <c r="BX45" s="160" t="s">
        <v>481</v>
      </c>
      <c r="BY45" s="160" t="s">
        <v>449</v>
      </c>
      <c r="BZ45" s="160" t="s">
        <v>157</v>
      </c>
      <c r="CA45" s="160" t="s">
        <v>474</v>
      </c>
      <c r="CB45" s="160" t="s">
        <v>475</v>
      </c>
      <c r="CC45" s="160" t="s">
        <v>46</v>
      </c>
      <c r="CD45" s="212" t="s">
        <v>11</v>
      </c>
      <c r="CE45" s="211" t="s">
        <v>473</v>
      </c>
      <c r="CF45" s="160" t="s">
        <v>156</v>
      </c>
      <c r="CG45" s="160" t="s">
        <v>476</v>
      </c>
      <c r="CH45" s="160" t="s">
        <v>477</v>
      </c>
      <c r="CI45" s="160" t="s">
        <v>478</v>
      </c>
      <c r="CJ45" s="160" t="s">
        <v>479</v>
      </c>
      <c r="CK45" s="160" t="s">
        <v>480</v>
      </c>
      <c r="CL45" s="160" t="s">
        <v>481</v>
      </c>
      <c r="CM45" s="160" t="s">
        <v>449</v>
      </c>
      <c r="CN45" s="160" t="s">
        <v>157</v>
      </c>
      <c r="CO45" s="160" t="s">
        <v>474</v>
      </c>
      <c r="CP45" s="160" t="s">
        <v>475</v>
      </c>
      <c r="CQ45" s="160" t="s">
        <v>46</v>
      </c>
      <c r="CR45" s="212" t="s">
        <v>11</v>
      </c>
      <c r="CV45" s="263"/>
      <c r="CW45" s="263"/>
      <c r="CX45" s="264" t="s">
        <v>156</v>
      </c>
      <c r="CY45" s="264" t="s">
        <v>479</v>
      </c>
      <c r="CZ45" s="264" t="s">
        <v>480</v>
      </c>
      <c r="DA45" s="264" t="s">
        <v>157</v>
      </c>
      <c r="DB45" s="264" t="s">
        <v>156</v>
      </c>
      <c r="DC45" s="264" t="s">
        <v>479</v>
      </c>
      <c r="DD45" s="264" t="s">
        <v>480</v>
      </c>
      <c r="DE45" s="264" t="s">
        <v>157</v>
      </c>
      <c r="DF45" s="264" t="s">
        <v>156</v>
      </c>
      <c r="DG45" s="264" t="s">
        <v>479</v>
      </c>
      <c r="DH45" s="264" t="s">
        <v>480</v>
      </c>
      <c r="DI45" s="264" t="s">
        <v>157</v>
      </c>
      <c r="DJ45" s="264" t="s">
        <v>156</v>
      </c>
      <c r="DK45" s="264" t="s">
        <v>479</v>
      </c>
      <c r="DL45" s="264" t="s">
        <v>480</v>
      </c>
      <c r="DM45" s="264" t="s">
        <v>157</v>
      </c>
      <c r="DN45" s="264" t="s">
        <v>156</v>
      </c>
      <c r="DO45" s="264" t="s">
        <v>479</v>
      </c>
      <c r="DP45" s="264" t="s">
        <v>480</v>
      </c>
      <c r="DQ45" s="264" t="s">
        <v>157</v>
      </c>
      <c r="DR45" s="264" t="s">
        <v>156</v>
      </c>
      <c r="DS45" s="264" t="s">
        <v>479</v>
      </c>
      <c r="DT45" s="264" t="s">
        <v>480</v>
      </c>
      <c r="DU45" s="264" t="s">
        <v>157</v>
      </c>
      <c r="DW45" s="278"/>
      <c r="DX45" s="278"/>
      <c r="DY45" s="280" t="s">
        <v>587</v>
      </c>
      <c r="DZ45" s="280" t="s">
        <v>588</v>
      </c>
      <c r="EC45" s="412" t="s">
        <v>565</v>
      </c>
      <c r="ED45" s="412" t="s">
        <v>566</v>
      </c>
      <c r="EE45" s="412" t="s">
        <v>567</v>
      </c>
      <c r="EF45" s="412" t="s">
        <v>563</v>
      </c>
      <c r="EG45" s="417" t="s">
        <v>598</v>
      </c>
      <c r="EH45" s="418" t="s">
        <v>586</v>
      </c>
      <c r="EI45" s="419" t="s">
        <v>259</v>
      </c>
      <c r="EJ45" s="377" t="s">
        <v>822</v>
      </c>
      <c r="EM45" s="278" t="s">
        <v>565</v>
      </c>
      <c r="EN45" s="278" t="s">
        <v>566</v>
      </c>
      <c r="EO45" s="278" t="s">
        <v>567</v>
      </c>
      <c r="EP45" s="278" t="s">
        <v>563</v>
      </c>
      <c r="EQ45" s="286" t="s">
        <v>598</v>
      </c>
      <c r="ER45" s="287" t="s">
        <v>586</v>
      </c>
      <c r="ES45" s="288" t="s">
        <v>605</v>
      </c>
      <c r="ET45" s="377" t="s">
        <v>822</v>
      </c>
      <c r="EV45" s="34"/>
      <c r="EW45" s="34"/>
      <c r="EX45" s="34"/>
      <c r="EY45" s="34"/>
      <c r="EZ45" s="375"/>
      <c r="FA45" s="376"/>
      <c r="FB45" s="377"/>
      <c r="FC45" s="377"/>
    </row>
    <row r="46" spans="1:159" ht="16.5" customHeight="1">
      <c r="A46" s="205"/>
      <c r="B46" s="205" t="s">
        <v>12</v>
      </c>
      <c r="C46" s="400">
        <f>'A.일산테크노밸리(859991)_수정'!$P28*KTDB_TripDistribution_2025!L$12</f>
        <v>18.631369569485777</v>
      </c>
      <c r="D46" s="400">
        <f>'A.일산테크노밸리(859991)_수정'!$P28*KTDB_TripDistribution_2025!M$12</f>
        <v>144.88001434193569</v>
      </c>
      <c r="E46" s="400">
        <f>'A.일산테크노밸리(859991)_수정'!$P28*KTDB_TripDistribution_2025!N$12</f>
        <v>6.421857792878539</v>
      </c>
      <c r="F46" s="400">
        <f>'A.일산테크노밸리(859991)_수정'!$P28*KTDB_TripDistribution_2025!O$12</f>
        <v>1.7415207573907965E-2</v>
      </c>
      <c r="G46" s="400">
        <f>'A.일산테크노밸리(859991)_수정'!$P28*KTDB_TripDistribution_2025!P$12</f>
        <v>4.9343088126072326E-2</v>
      </c>
      <c r="H46" s="400">
        <f>'A.일산테크노밸리(859991)_수정'!$P28*KTDB_TripDistribution_2025!Q$12</f>
        <v>170</v>
      </c>
      <c r="J46" s="230">
        <f t="shared" ref="J46:J57" si="4">CR46</f>
        <v>170</v>
      </c>
      <c r="K46" s="206"/>
      <c r="L46" s="209" t="s">
        <v>12</v>
      </c>
      <c r="M46" s="213">
        <f>INDEX($A$45:$H$57,MATCH($L46,$B$45:$B$57,0),MATCH($M$44,$A$45:$H$45,0))*고양시_Modal_split!C$3 * 0.01</f>
        <v>5.2167834794560164E-2</v>
      </c>
      <c r="N46" s="207">
        <f>INDEX($A$45:$H$57,MATCH($L46,$B$45:$B$57,0),MATCH($M$44,$A$45:$H$45,0))*고양시_Modal_split!D$3 * 0.01</f>
        <v>8.7623331085291607</v>
      </c>
      <c r="O46" s="207">
        <f>INDEX($A$45:$H$57,MATCH($L46,$B$45:$B$57,0),MATCH($M$44,$A$45:$H$45,0))*고양시_Modal_split!E$3 * 0.01</f>
        <v>1.0601249285037406</v>
      </c>
      <c r="P46" s="207">
        <f>INDEX($A$45:$H$57,MATCH($L46,$B$45:$B$57,0),MATCH($M$44,$A$45:$H$45,0))*고양시_Modal_split!F$3 * 0.01</f>
        <v>1.7084965895218458</v>
      </c>
      <c r="Q46" s="207">
        <f>INDEX($A$45:$H$57,MATCH($L46,$B$45:$B$57,0),MATCH($M$44,$A$45:$H$45,0))*고양시_Modal_split!G$3 * 0.01</f>
        <v>0.17140860003926914</v>
      </c>
      <c r="R46" s="207">
        <f>INDEX($A$45:$H$57,MATCH($L46,$B$45:$B$57,0),MATCH($M$44,$A$45:$H$45,0))*고양시_Modal_split!H$3 * 0.01</f>
        <v>1.8631369569485779E-3</v>
      </c>
      <c r="S46" s="207">
        <f>INDEX($A$45:$H$57,MATCH($L46,$B$45:$B$57,0),MATCH($M$44,$A$45:$H$45,0))*고양시_Modal_split!I$3 * 0.01</f>
        <v>0.51795207403170462</v>
      </c>
      <c r="T46" s="207">
        <f>INDEX($A$45:$H$57,MATCH($L46,$B$45:$B$57,0),MATCH($M$44,$A$45:$H$45,0))*고양시_Modal_split!J$3 * 0.01</f>
        <v>5.6713888969514707</v>
      </c>
      <c r="U46" s="207">
        <f>INDEX($A$45:$H$57,MATCH($L46,$B$45:$B$57,0),MATCH($M$44,$A$45:$H$45,0))*고양시_Modal_split!K$3 * 0.01</f>
        <v>2.7947054354228666E-2</v>
      </c>
      <c r="V46" s="207">
        <f>INDEX($A$45:$H$57,MATCH($L46,$B$45:$B$57,0),MATCH($M$44,$A$45:$H$45,0))*고양시_Modal_split!L$3 * 0.01</f>
        <v>0.56266736099847048</v>
      </c>
      <c r="W46" s="207">
        <f>INDEX($A$45:$H$57,MATCH($L46,$B$45:$B$57,0),MATCH($M$44,$A$45:$H$45,0))*고양시_Modal_split!M$3 * 0.01</f>
        <v>4.2852150009817284E-2</v>
      </c>
      <c r="X46" s="207">
        <f>INDEX($A$45:$H$57,MATCH($L46,$B$45:$B$57,0),MATCH($M$44,$A$45:$H$45,0))*고양시_Modal_split!N$3 * 0.01</f>
        <v>1.863136956948578E-2</v>
      </c>
      <c r="Y46" s="207">
        <f>INDEX($A$45:$H$57,MATCH($L46,$B$45:$B$57,0),MATCH($M$44,$A$45:$H$45,0))*고양시_Modal_split!O$3 * 0.01</f>
        <v>3.3536465225074398E-2</v>
      </c>
      <c r="Z46" s="214">
        <f>INDEX($A$45:$H$57,MATCH($L46,$B$45:$B$57,0),MATCH($M$44,$A$45:$H$45,0))*고양시_Modal_split!P$3 * 0.01</f>
        <v>18.631369569485777</v>
      </c>
      <c r="AA46" s="213">
        <f>INDEX($A$45:$H$57,MATCH($L46,$B$45:$B$57,0),MATCH($AA$44,$A$45:$H$45,0))*고양시_Modal_split!C$4 * 0.01</f>
        <v>44.10147636568523</v>
      </c>
      <c r="AB46" s="207">
        <f>INDEX($A$45:$H$57,MATCH($L46,$B$45:$B$57,0),MATCH($AA$44,$A$45:$H$45,0))*고양시_Modal_split!D$4 * 0.01</f>
        <v>46.46302059945878</v>
      </c>
      <c r="AC46" s="207">
        <f>INDEX($A$45:$H$57,MATCH($L46,$B$45:$B$57,0),MATCH($AA$44,$A$45:$H$45,0))*고양시_Modal_split!E$4 * 0.01</f>
        <v>11.257177114368403</v>
      </c>
      <c r="AD46" s="207">
        <f>INDEX($A$45:$H$57,MATCH($L46,$B$45:$B$57,0),MATCH($AA$44,$A$45:$H$45,0))*고양시_Modal_split!F$4 * 0.01</f>
        <v>1.376360136248389</v>
      </c>
      <c r="AE46" s="207">
        <f>INDEX($A$45:$H$57,MATCH($L46,$B$45:$B$57,0),MATCH($AA$44,$A$45:$H$45,0))*고양시_Modal_split!G$4 * 0.01</f>
        <v>16.96544967944067</v>
      </c>
      <c r="AF46" s="207">
        <f>INDEX($A$45:$H$57,MATCH($L46,$B$45:$B$57,0),MATCH($AA$44,$A$45:$H$45,0))*고양시_Modal_split!H$4 * 0.01</f>
        <v>0</v>
      </c>
      <c r="AG46" s="207">
        <f>INDEX($A$45:$H$57,MATCH($L46,$B$45:$B$57,0),MATCH($AA$44,$A$45:$H$45,0))*고양시_Modal_split!I$4 * 0.01</f>
        <v>5.0418244990993619</v>
      </c>
      <c r="AH46" s="207">
        <f>INDEX($A$45:$H$57,MATCH($L46,$B$45:$B$57,0),MATCH($AA$44,$A$45:$H$45,0))*고양시_Modal_split!J$4 * 0.01</f>
        <v>6.8238486755051717</v>
      </c>
      <c r="AI46" s="207">
        <f>INDEX($A$45:$H$57,MATCH($L46,$B$45:$B$57,0),MATCH($AA$44,$A$45:$H$45,0))*고양시_Modal_split!K$4 * 0.01</f>
        <v>0</v>
      </c>
      <c r="AJ46" s="207">
        <f>INDEX($A$45:$H$57,MATCH($L46,$B$45:$B$57,0),MATCH($AA$44,$A$45:$H$45,0))*고양시_Modal_split!L$4 * 0.01</f>
        <v>6.6934566625974288</v>
      </c>
      <c r="AK46" s="207">
        <f>INDEX($A$45:$H$57,MATCH($L46,$B$45:$B$57,0),MATCH($AA$44,$A$45:$H$45,0))*고양시_Modal_split!M$4 * 0.01</f>
        <v>0.97069609609096918</v>
      </c>
      <c r="AL46" s="207">
        <f>INDEX($A$45:$H$57,MATCH($L46,$B$45:$B$57,0),MATCH($AA$44,$A$45:$H$45,0))*고양시_Modal_split!N$4 * 0.01</f>
        <v>3.6220003585483926</v>
      </c>
      <c r="AM46" s="207">
        <f>INDEX($A$45:$H$57,MATCH($L46,$B$45:$B$57,0),MATCH($AA$44,$A$45:$H$45,0))*고양시_Modal_split!O$4 * 0.01</f>
        <v>1.5647041548929057</v>
      </c>
      <c r="AN46" s="214">
        <f>INDEX($A$45:$H$57,MATCH($L46,$B$45:$B$57,0),MATCH($AA$44,$A$45:$H$45,0))*고양시_Modal_split!P$4 * 0.01</f>
        <v>144.88001434193569</v>
      </c>
      <c r="AO46" s="213">
        <f>INDEX($A$45:$H$57,MATCH($L46,$B$45:$B$57,0),MATCH($AO$44,$A$45:$H$45,0))*고양시_Modal_split!C$5 * 0.01</f>
        <v>3.8531146757271235E-3</v>
      </c>
      <c r="AP46" s="207">
        <f>INDEX($A$45:$H$57,MATCH($L46,$B$45:$B$57,0),MATCH($AO$44,$A$45:$H$45,0))*고양시_Modal_split!D$5 * 0.01</f>
        <v>4.7059373906213935</v>
      </c>
      <c r="AQ46" s="207">
        <f>INDEX($A$45:$H$57,MATCH($L46,$B$45:$B$57,0),MATCH($AO$44,$A$45:$H$45,0))*고양시_Modal_split!E$5 * 0.01</f>
        <v>0.63255299259853615</v>
      </c>
      <c r="AR46" s="207">
        <f>INDEX($A$45:$H$57,MATCH($L46,$B$45:$B$57,0),MATCH($AO$44,$A$45:$H$45,0))*고양시_Modal_split!F$5 * 0.01</f>
        <v>0.13485901365044933</v>
      </c>
      <c r="AS46" s="207">
        <f>INDEX($A$45:$H$57,MATCH($L46,$B$45:$B$57,0),MATCH($AO$44,$A$45:$H$45,0))*고양시_Modal_split!G$5 * 0.01</f>
        <v>4.1742075653710506E-2</v>
      </c>
      <c r="AT46" s="207">
        <f>INDEX($A$45:$H$57,MATCH($L46,$B$45:$B$57,0),MATCH($AO$44,$A$45:$H$45,0))*고양시_Modal_split!H$5 * 0.01</f>
        <v>4.4953004550149769E-3</v>
      </c>
      <c r="AU46" s="207">
        <f>INDEX($A$45:$H$57,MATCH($L46,$B$45:$B$57,0),MATCH($AO$44,$A$45:$H$45,0))*고양시_Modal_split!I$5 * 0.01</f>
        <v>0.17788546086273552</v>
      </c>
      <c r="AV46" s="207">
        <f>INDEX($A$45:$H$57,MATCH($L46,$B$45:$B$57,0),MATCH($AO$44,$A$45:$H$45,0))*고양시_Modal_split!J$5 * 0.01</f>
        <v>0.40265048361348443</v>
      </c>
      <c r="AW46" s="207">
        <f>INDEX($A$45:$H$57,MATCH($L46,$B$45:$B$57,0),MATCH($AO$44,$A$45:$H$45,0))*고양시_Modal_split!K$5 * 0.01</f>
        <v>1.2843715585757079E-3</v>
      </c>
      <c r="AX46" s="207">
        <f>INDEX($A$45:$H$57,MATCH($L46,$B$45:$B$57,0),MATCH($AO$44,$A$45:$H$45,0))*고양시_Modal_split!L$5 * 0.01</f>
        <v>0.16375737371840274</v>
      </c>
      <c r="AY46" s="207">
        <f>INDEX($A$45:$H$57,MATCH($L46,$B$45:$B$57,0),MATCH($AO$44,$A$45:$H$45,0))*고양시_Modal_split!M$5 * 0.01</f>
        <v>4.3026447212286219E-2</v>
      </c>
      <c r="AZ46" s="207">
        <f>INDEX($A$45:$H$57,MATCH($L46,$B$45:$B$57,0),MATCH($AO$44,$A$45:$H$45,0))*고양시_Modal_split!N$5 * 0.01</f>
        <v>1.0917158247893514E-2</v>
      </c>
      <c r="BA46" s="207">
        <f>INDEX($A$45:$H$57,MATCH($L46,$B$45:$B$57,0),MATCH($AO$44,$A$45:$H$45,0))*고양시_Modal_split!O$5 * 0.01</f>
        <v>9.8896610010329497E-2</v>
      </c>
      <c r="BB46" s="214">
        <f>INDEX($A$45:$H$57,MATCH($L46,$B$45:$B$57,0),MATCH($AO$44,$A$45:$H$45,0))*고양시_Modal_split!P$5 * 0.01</f>
        <v>6.421857792878539</v>
      </c>
      <c r="BC46" s="213">
        <f>INDEX($A$45:$H$57,MATCH($L46,$B$45:$B$57,0),MATCH($BC$44,$A$45:$H$45,0))*고양시_Modal_split!C$6 * 0.01</f>
        <v>0</v>
      </c>
      <c r="BD46" s="207">
        <f>INDEX($A$45:$H$57,MATCH($L46,$B$45:$B$57,0),MATCH($BC$44,$A$45:$H$45,0))*고양시_Modal_split!D$6 * 0.01</f>
        <v>1.4421533391953184E-2</v>
      </c>
      <c r="BE46" s="207">
        <f>INDEX($A$45:$H$57,MATCH($L46,$B$45:$B$57,0),MATCH($BC$44,$A$45:$H$45,0))*고양시_Modal_split!E$6 * 0.01</f>
        <v>7.4885392567804245E-5</v>
      </c>
      <c r="BF46" s="207">
        <f>INDEX($A$45:$H$57,MATCH($L46,$B$45:$B$57,0),MATCH($BC$44,$A$45:$H$45,0))*고양시_Modal_split!F$6 * 0.01</f>
        <v>2.1246553240167717E-4</v>
      </c>
      <c r="BG46" s="207">
        <f>INDEX($A$45:$H$57,MATCH($L46,$B$45:$B$57,0),MATCH($BC$44,$A$45:$H$45,0))*고양시_Modal_split!G$6 * 0.01</f>
        <v>0</v>
      </c>
      <c r="BH46" s="207">
        <f>INDEX($A$45:$H$57,MATCH($L46,$B$45:$B$57,0),MATCH($BC$44,$A$45:$H$45,0))*고양시_Modal_split!H$6 * 0.01</f>
        <v>9.2474752217451301E-4</v>
      </c>
      <c r="BI46" s="207">
        <f>INDEX($A$45:$H$57,MATCH($L46,$B$45:$B$57,0),MATCH($BC$44,$A$45:$H$45,0))*고양시_Modal_split!I$6 * 0.01</f>
        <v>6.1649834811634201E-4</v>
      </c>
      <c r="BJ46" s="207">
        <f>INDEX($A$45:$H$57,MATCH($L46,$B$45:$B$57,0),MATCH($BC$44,$A$45:$H$45,0))*고양시_Modal_split!J$6 * 0.01</f>
        <v>8.6031125415105339E-4</v>
      </c>
      <c r="BK46" s="207">
        <f>INDEX($A$45:$H$57,MATCH($L46,$B$45:$B$57,0),MATCH($BC$44,$A$45:$H$45,0))*고양시_Modal_split!K$6 * 0.01</f>
        <v>0</v>
      </c>
      <c r="BL46" s="207">
        <f>INDEX($A$45:$H$57,MATCH($L46,$B$45:$B$57,0),MATCH($BC$44,$A$45:$H$45,0))*고양시_Modal_split!L$6 * 0.01</f>
        <v>1.3235557756170055E-4</v>
      </c>
      <c r="BM46" s="207">
        <f>INDEX($A$45:$H$57,MATCH($L46,$B$45:$B$57,0),MATCH($BC$44,$A$45:$H$45,0))*고양시_Modal_split!M$6 * 0.01</f>
        <v>1.5847838892256249E-4</v>
      </c>
      <c r="BN46" s="207">
        <f>INDEX($A$45:$H$57,MATCH($L46,$B$45:$B$57,0),MATCH($BC$44,$A$45:$H$45,0))*고양시_Modal_split!N$6 * 0.01</f>
        <v>0</v>
      </c>
      <c r="BO46" s="207">
        <f>INDEX($A$45:$H$57,MATCH($L46,$B$45:$B$57,0),MATCH($BC$44,$A$45:$H$45,0))*고양시_Modal_split!O$6 * 0.01</f>
        <v>1.3932166059126371E-5</v>
      </c>
      <c r="BP46" s="214">
        <f>INDEX($A$45:$H$57,MATCH($L46,$B$45:$B$57,0),MATCH($BC$44,$A$45:$H$45,0))*고양시_Modal_split!P$6 * 0.01</f>
        <v>1.7415207573907965E-2</v>
      </c>
      <c r="BQ46" s="213">
        <f>INDEX($A$45:$H$57,MATCH($L46,$B$45:$B$57,0),MATCH($BQ$44,$A$45:$H$45,0))*고양시_Modal_split!C$7 * 0.01</f>
        <v>0</v>
      </c>
      <c r="BR46" s="207">
        <f>INDEX($A$45:$H$57,MATCH($L46,$B$45:$B$57,0),MATCH($BQ$44,$A$45:$H$45,0))*고양시_Modal_split!D$7 * 0.01</f>
        <v>3.023744440365712E-2</v>
      </c>
      <c r="BS46" s="207">
        <f>INDEX($A$45:$H$57,MATCH($L46,$B$45:$B$57,0),MATCH($BQ$44,$A$45:$H$45,0))*고양시_Modal_split!E$7 * 0.01</f>
        <v>1.4753583349695623E-3</v>
      </c>
      <c r="BT46" s="207">
        <f>INDEX($A$45:$H$57,MATCH($L46,$B$45:$B$57,0),MATCH($BQ$44,$A$45:$H$45,0))*고양시_Modal_split!F$7 * 0.01</f>
        <v>4.9343088126072325E-4</v>
      </c>
      <c r="BU46" s="207">
        <f>INDEX($A$45:$H$57,MATCH($L46,$B$45:$B$57,0),MATCH($BQ$44,$A$45:$H$45,0))*고양시_Modal_split!G$7 * 0.01</f>
        <v>2.0724097012950378E-4</v>
      </c>
      <c r="BV46" s="207">
        <f>INDEX($A$45:$H$57,MATCH($L46,$B$45:$B$57,0),MATCH($BQ$44,$A$45:$H$45,0))*고양시_Modal_split!H$7 * 0.01</f>
        <v>2.7582786262474431E-3</v>
      </c>
      <c r="BW46" s="207">
        <f>INDEX($A$45:$H$57,MATCH($L46,$B$45:$B$57,0),MATCH($BQ$44,$A$45:$H$45,0))*고양시_Modal_split!I$7 * 0.01</f>
        <v>9.2123545531377048E-3</v>
      </c>
      <c r="BX46" s="207">
        <f>INDEX($A$45:$H$57,MATCH($L46,$B$45:$B$57,0),MATCH($BQ$44,$A$45:$H$45,0))*고양시_Modal_split!J$7 * 0.01</f>
        <v>9.8686176252144651E-6</v>
      </c>
      <c r="BY46" s="207">
        <f>INDEX($A$45:$H$57,MATCH($L46,$B$45:$B$57,0),MATCH($BQ$44,$A$45:$H$45,0))*고양시_Modal_split!K$7 * 0.01</f>
        <v>3.7994177857075696E-3</v>
      </c>
      <c r="BZ46" s="207">
        <f>INDEX($A$45:$H$57,MATCH($L46,$B$45:$B$57,0),MATCH($BQ$44,$A$45:$H$45,0))*고양시_Modal_split!L$7 * 0.01</f>
        <v>3.4540161688250623E-5</v>
      </c>
      <c r="CA46" s="207">
        <f>INDEX($A$45:$H$57,MATCH($L46,$B$45:$B$57,0),MATCH($BQ$44,$A$45:$H$45,0))*고양시_Modal_split!M$7 * 0.01</f>
        <v>9.2271574795755261E-4</v>
      </c>
      <c r="CB46" s="207">
        <f>INDEX($A$45:$H$57,MATCH($L46,$B$45:$B$57,0),MATCH($BQ$44,$A$45:$H$45,0))*고양시_Modal_split!N$7 * 0.01</f>
        <v>1.9243804369168207E-4</v>
      </c>
      <c r="CC46" s="207">
        <f>INDEX($A$45:$H$57,MATCH($L46,$B$45:$B$57,0),MATCH($BQ$44,$A$45:$H$45,0))*고양시_Modal_split!O$7 * 0.01</f>
        <v>0</v>
      </c>
      <c r="CD46" s="214">
        <f>INDEX($A$45:$H$57,MATCH($L46,$B$45:$B$57,0),MATCH($BQ$44,$A$45:$H$45,0))*고양시_Modal_split!P$7 * 0.01</f>
        <v>4.9343088126072326E-2</v>
      </c>
      <c r="CE46" s="218">
        <f>M46+AA46+AO46+BC46+BQ46</f>
        <v>44.157497315155517</v>
      </c>
      <c r="CF46" s="208">
        <f t="shared" ref="CF46:CF57" si="5">N46+AB46+AP46+BD46+BR46</f>
        <v>59.975950076404949</v>
      </c>
      <c r="CG46" s="208">
        <f t="shared" ref="CG46:CG57" si="6">O46+AC46+AQ46+BE46+BS46</f>
        <v>12.951405279198216</v>
      </c>
      <c r="CH46" s="208">
        <f t="shared" ref="CH46:CH57" si="7">P46+AD46+AR46+BF46+BT46</f>
        <v>3.2204216358343465</v>
      </c>
      <c r="CI46" s="208">
        <f t="shared" ref="CI46:CI57" si="8">Q46+AE46+AS46+BG46+BU46</f>
        <v>17.17880759610378</v>
      </c>
      <c r="CJ46" s="208">
        <f t="shared" ref="CJ46:CJ57" si="9">R46+AF46+AT46+BH46+BV46</f>
        <v>1.0041463560385511E-2</v>
      </c>
      <c r="CK46" s="208">
        <f t="shared" ref="CK46:CK57" si="10">S46+AG46+AU46+BI46+BW46</f>
        <v>5.7474908868950561</v>
      </c>
      <c r="CL46" s="208">
        <f t="shared" ref="CL46:CL57" si="11">T46+AH46+AV46+BJ46+BX46</f>
        <v>12.898758235941902</v>
      </c>
      <c r="CM46" s="208">
        <f t="shared" ref="CM46:CM57" si="12">U46+AI46+AW46+BK46+BY46</f>
        <v>3.3030843698511947E-2</v>
      </c>
      <c r="CN46" s="208">
        <f t="shared" ref="CN46:CN57" si="13">V46+AJ46+AX46+BL46+BZ46</f>
        <v>7.4200482930535516</v>
      </c>
      <c r="CO46" s="208">
        <f t="shared" ref="CO46:CO57" si="14">W46+AK46+AY46+BM46+CA46</f>
        <v>1.0576558874499531</v>
      </c>
      <c r="CP46" s="208">
        <f t="shared" ref="CP46:CP57" si="15">X46+AL46+AZ46+BN46+CB46</f>
        <v>3.6517413244094636</v>
      </c>
      <c r="CQ46" s="208">
        <f t="shared" ref="CQ46:CQ57" si="16">Y46+AM46+BA46+BO46+CC46</f>
        <v>1.6971511622943687</v>
      </c>
      <c r="CR46" s="219">
        <f t="shared" ref="CR46:CR57" si="17">Z46+AN46+BB46+BP46+CD46</f>
        <v>170</v>
      </c>
      <c r="CS46" s="225">
        <f>H46-CR46</f>
        <v>0</v>
      </c>
      <c r="CV46" s="265"/>
      <c r="CW46" s="266" t="s">
        <v>12</v>
      </c>
      <c r="CX46" s="267">
        <f>INDEX($M$44:$Z$57,MATCH($CW46,$L$44:$L$57,0),MATCH(CX$45,$M$45:$Z$45,0))/INDEX(고양시_재차인원!$D$4:$H$35,MATCH("고양시",고양시_재차인원!$B$4:$B$35,0),MATCH('A.일산테크노밸리(859991)_수정'!$CX$44,고양시_재차인원!$D$4:$H$4,0))</f>
        <v>7.8235117040438924</v>
      </c>
      <c r="CY46" s="267">
        <f>INDEX($M$44:$Z$57,MATCH($CW46,$L$44:$L$57,0),MATCH(CY$45,$M$45:$Z$45,0))/INDEX(고양시_재차인원!$K$4:$O$20,MATCH("경기도",고양시_재차인원!$K$4:$K$20,0),MATCH('A.일산테크노밸리(859991)_수정'!CY$45,고양시_재차인원!$K$4:$O$4,0))</f>
        <v>6.4714725840520247E-5</v>
      </c>
      <c r="CZ46" s="267">
        <f>INDEX($M$44:$Z$57,MATCH($CW46,$L$44:$L$57,0),MATCH(CZ$45,$M$45:$Z$45,0))/INDEX(고양시_재차인원!$K$4:$O$20,MATCH("경기도",고양시_재차인원!$K$4:$K$20,0),MATCH('A.일산테크노밸리(859991)_수정'!CZ$45,고양시_재차인원!$K$4:$O$4,0))</f>
        <v>1.7990693783664628E-2</v>
      </c>
      <c r="DA46" s="267">
        <f>INDEX($M$44:$Z$57,MATCH($CW46,$L$44:$L$57,0),MATCH(DA$45,$M$45:$Z$45,0))/INDEX(고양시_재차인원!$K$4:$O$20,MATCH("경기도",고양시_재차인원!$K$4:$K$20,0),MATCH('A.일산테크노밸리(859991)_수정'!DA$45,고양시_재차인원!$K$4:$O$4,0))</f>
        <v>0.37511157399898032</v>
      </c>
      <c r="DB46" s="267">
        <f>INDEX($AA$44:$AN$57,MATCH($CW46,$L$44:$L$57,0),MATCH(DB$45,$AA$45:$AN$45,0))/INDEX(고양시_재차인원!$D$4:$H$35,MATCH("고양시",고양시_재차인원!$B$4:$B$35,0),MATCH('A.일산테크노밸리(859991)_수정'!$DB$44,고양시_재차인원!$D$4:$H$4,0))</f>
        <v>32.95249687904878</v>
      </c>
      <c r="DC46" s="267">
        <f>INDEX($AA$44:$AN$57,MATCH($CW46,$L$44:$L$57,0),MATCH(DC$45,$AA$45:$AN$45,0))/INDEX(고양시_재차인원!$K$4:$O$20,MATCH("경기도",고양시_재차인원!$K$4:$K$20,0),MATCH('A.일산테크노밸리(859991)_수정'!DC$45,고양시_재차인원!$K$4:$O$4,0))</f>
        <v>0</v>
      </c>
      <c r="DD46" s="267">
        <f>INDEX($AA$44:$AN$57,MATCH($CW46,$L$44:$L$57,0),MATCH(DD$45,$AA$45:$AN$45,0))/INDEX(고양시_재차인원!$K$4:$O$20,MATCH("경기도",고양시_재차인원!$K$4:$K$20,0),MATCH('A.일산테크노밸리(859991)_수정'!DD$45,고양시_재차인원!$K$4:$O$4,0))</f>
        <v>0.17512415766236061</v>
      </c>
      <c r="DE46" s="267">
        <f>INDEX($AA$44:$AN$57,MATCH($CW46,$L$44:$L$57,0),MATCH(DE$45,$AA$45:$AN$45,0))/INDEX(고양시_재차인원!$K$4:$O$20,MATCH("경기도",고양시_재차인원!$K$4:$K$20,0),MATCH('A.일산테크노밸리(859991)_수정'!DE$45,고양시_재차인원!$K$4:$O$4,0))</f>
        <v>4.4623044417316189</v>
      </c>
      <c r="DF46" s="267">
        <f>INDEX($AO$44:$BB$57,MATCH($CW46,$L$44:$L$57,0),MATCH(DF$45,$AO$45:$BB$45,0))/INDEX(고양시_재차인원!$D$4:$H$35,MATCH("고양시",고양시_재차인원!$B$4:$B$35,0),MATCH('A.일산테크노밸리(859991)_수정'!$DF$44,고양시_재차인원!$D$4:$H$4,0))</f>
        <v>3.6199518389395333</v>
      </c>
      <c r="DG46" s="267">
        <f>INDEX($AO$44:$BB$57,MATCH($CW46,$L$44:$L$57,0),MATCH(DG$45,$AO$45:$BB$45,0))/INDEX(고양시_재차인원!$K$4:$O$20,MATCH("경기도",고양시_재차인원!$K$4:$K$20,0),MATCH('A.일산테크노밸리(859991)_수정'!DG$45,고양시_재차인원!$K$4:$O$4,0))</f>
        <v>1.5614103699253132E-4</v>
      </c>
      <c r="DH46" s="267">
        <f>INDEX($AO$44:$BB$57,MATCH($CW46,$L$44:$L$57,0),MATCH(DH$45,$AO$45:$BB$45,0))/INDEX(고양시_재차인원!$K$4:$O$20,MATCH("경기도",고양시_재차인원!$K$4:$K$20,0),MATCH('A.일산테크노밸리(859991)_수정'!DH$45,고양시_재차인원!$K$4:$O$4,0))</f>
        <v>6.1787238924187401E-3</v>
      </c>
      <c r="DI46" s="267">
        <f>INDEX($AO$44:$BB$57,MATCH($CW46,$L$44:$L$57,0),MATCH(DI$45,$AO$45:$BB$45,0))/INDEX(고양시_재차인원!$K$4:$O$20,MATCH("경기도",고양시_재차인원!$K$4:$K$20,0),MATCH('A.일산테크노밸리(859991)_수정'!DI$45,고양시_재차인원!$K$4:$O$4,0))</f>
        <v>0.10917158247893516</v>
      </c>
      <c r="DJ46" s="268">
        <f>INDEX($BC$44:$BP$57,MATCH($CW46,$L$44:$L$57,0),MATCH(DJ$45,$BC$45:$BP$45,0))/INDEX(고양시_재차인원!$D$4:$H$35,MATCH("고양시",고양시_재차인원!$B$4:$B$35,0),MATCH('A.일산테크노밸리(859991)_수정'!$DJ$44,고양시_재차인원!$D$4:$H$4,0))</f>
        <v>1.0604068670553812E-2</v>
      </c>
      <c r="DK46" s="267">
        <f>INDEX($BC$44:$BP$57,MATCH($CW46,$L$44:$L$57,0),MATCH(DK$45,$BC$45:$BP$45,0))/INDEX(고양시_재차인원!$K$4:$O$20,MATCH("경기도",고양시_재차인원!$K$4:$K$20,0),MATCH('A.일산테크노밸리(859991)_수정'!DK$45,고양시_재차인원!$K$4:$O$4,0))</f>
        <v>3.2120441895606564E-5</v>
      </c>
      <c r="DL46" s="267">
        <f>INDEX($BC$44:$BP$57,MATCH($CW46,$L$44:$L$57,0),MATCH(DL$45,$BC$45:$BP$45,0))/INDEX(고양시_재차인원!$K$4:$O$20,MATCH("경기도",고양시_재차인원!$K$4:$K$20,0),MATCH('A.일산테크노밸리(859991)_수정'!DL$45,고양시_재차인원!$K$4:$O$4,0))</f>
        <v>2.1413627930404376E-5</v>
      </c>
      <c r="DM46" s="267">
        <f>INDEX($BC$44:$BP$57,MATCH($CW46,$L$44:$L$57,0),MATCH(DM$45,$BC$45:$BP$45,0))/INDEX(고양시_재차인원!$K$4:$O$20,MATCH("경기도",고양시_재차인원!$K$4:$K$20,0),MATCH('A.일산테크노밸리(859991)_수정'!DM$45,고양시_재차인원!$K$4:$O$4,0))</f>
        <v>8.823705170780037E-5</v>
      </c>
      <c r="DN46" s="268">
        <f>INDEX($BQ$44:$CD$57,MATCH($CW46,$L$44:$L$57,0),MATCH(DN$45,$BQ$45:$CD$45,0))/INDEX(고양시_재차인원!$D$4:$H$35,MATCH("고양시",고양시_재차인원!$B$4:$B$35,0),MATCH('A.일산테크노밸리(859991)_수정'!$DN$44,고양시_재차인원!$D$4:$H$4,0))</f>
        <v>2.3997971748934224E-2</v>
      </c>
      <c r="DO46" s="267">
        <f>INDEX($BQ$44:$CD$57,MATCH($CW46,$L$44:$L$57,0),MATCH(DO$45,$BQ$45:$CD$45,0))/INDEX(고양시_재차인원!$K$4:$O$20,MATCH("경기도",고양시_재차인원!$K$4:$K$20,0),MATCH('A.일산테크노밸리(859991)_수정'!DO$45,고양시_재차인원!$K$4:$O$4,0))</f>
        <v>9.5806829671672223E-5</v>
      </c>
      <c r="DP46" s="267">
        <f>INDEX($BQ$44:$CD$57,MATCH($CW46,$L$44:$L$57,0),MATCH(DP$45,$BQ$45:$CD$45,0))/INDEX(고양시_재차인원!$K$4:$O$20,MATCH("경기도",고양시_재차인원!$K$4:$K$20,0),MATCH('A.일산테크노밸리(859991)_수정'!DP$45,고양시_재차인원!$K$4:$O$4,0))</f>
        <v>3.1998452772274071E-4</v>
      </c>
      <c r="DQ46" s="267">
        <f>INDEX($BQ$44:$CD$57,MATCH($CW46,$L$44:$L$57,0),MATCH(DQ$45,$BQ$45:$CD$45,0))/INDEX(고양시_재차인원!$K$4:$O$20,MATCH("경기도",고양시_재차인원!$K$4:$K$20,0),MATCH('A.일산테크노밸리(859991)_수정'!DQ$45,고양시_재차인원!$K$4:$O$4,0))</f>
        <v>2.302677445883375E-5</v>
      </c>
      <c r="DR46" s="269">
        <f>CX46+DB46+DF46+DJ46+DN46</f>
        <v>44.430562462451697</v>
      </c>
      <c r="DS46" s="270">
        <f t="shared" ref="DS46:DS57" si="18">CY46+DC46+DG46+DK46+DO46</f>
        <v>3.4878303440033032E-4</v>
      </c>
      <c r="DT46" s="270">
        <f t="shared" ref="DT46:DT57" si="19">CZ46+DD46+DH46+DL46+DP46</f>
        <v>0.19963497349409715</v>
      </c>
      <c r="DU46" s="270">
        <f t="shared" ref="DU46:DU57" si="20">DA46+DE46+DI46+DM46+DQ46</f>
        <v>4.9466988620357011</v>
      </c>
      <c r="DW46" s="278"/>
      <c r="DX46" s="278" t="s">
        <v>590</v>
      </c>
      <c r="DY46" s="281">
        <f>DR46+DU46</f>
        <v>49.377261324487399</v>
      </c>
      <c r="DZ46" s="281">
        <f>DS46+DT46</f>
        <v>0.19998375652849748</v>
      </c>
      <c r="EC46" s="412" t="s">
        <v>12</v>
      </c>
      <c r="ED46" s="412" t="s">
        <v>568</v>
      </c>
      <c r="EE46" s="412">
        <v>11477.778199999999</v>
      </c>
      <c r="EF46" s="412">
        <v>1</v>
      </c>
      <c r="EG46" s="413">
        <v>859001</v>
      </c>
      <c r="EH46" s="414">
        <f>VLOOKUP($EM46,$DX$45:$DZ$54,2,FALSE)*EF46*$AY$11*(1-$BD$7)</f>
        <v>43.173008439065562</v>
      </c>
      <c r="EI46" s="415">
        <f>VLOOKUP($EM46,$DX$45:$DZ$54,3,FALSE)*EF46*$AY$11*(1-$BD$7)</f>
        <v>0.1748557975206918</v>
      </c>
      <c r="EJ46" s="402">
        <v>0</v>
      </c>
      <c r="EM46" s="278" t="s">
        <v>12</v>
      </c>
      <c r="EN46" s="278" t="s">
        <v>568</v>
      </c>
      <c r="EO46" s="278">
        <v>11477.778199999999</v>
      </c>
      <c r="EP46" s="278">
        <v>1</v>
      </c>
      <c r="EQ46" s="289">
        <v>859001</v>
      </c>
      <c r="ER46" s="290">
        <f>EH46*$EA$39</f>
        <v>43.173008439065562</v>
      </c>
      <c r="ES46" s="291">
        <f t="shared" ref="ES46:ES90" si="21">EI46*$EA$39</f>
        <v>0.1748557975206918</v>
      </c>
      <c r="ET46" s="402">
        <v>0</v>
      </c>
      <c r="EV46" s="34"/>
      <c r="EW46" s="34"/>
      <c r="EX46" s="34"/>
      <c r="EY46" s="34"/>
      <c r="EZ46" s="378"/>
      <c r="FA46" s="401"/>
      <c r="FB46" s="402"/>
      <c r="FC46" s="402"/>
    </row>
    <row r="47" spans="1:159" ht="16.5" customHeight="1">
      <c r="A47" s="205"/>
      <c r="B47" s="205" t="s">
        <v>13</v>
      </c>
      <c r="C47" s="400">
        <f>'A.일산테크노밸리(859991)_수정'!$P29*KTDB_TripDistribution_2025!L$12</f>
        <v>15.124288238759043</v>
      </c>
      <c r="D47" s="400">
        <f>'A.일산테크노밸리(859991)_수정'!$P29*KTDB_TripDistribution_2025!M$12</f>
        <v>117.60848223051251</v>
      </c>
      <c r="E47" s="400">
        <f>'A.일산테크노밸리(859991)_수정'!$P29*KTDB_TripDistribution_2025!N$12</f>
        <v>5.2130375024543438</v>
      </c>
      <c r="F47" s="400">
        <f>'A.일산테크노밸리(859991)_수정'!$P29*KTDB_TripDistribution_2025!O$12</f>
        <v>1.4137050854113525E-2</v>
      </c>
      <c r="G47" s="400">
        <f>'A.일산테크노밸리(859991)_수정'!$P29*KTDB_TripDistribution_2025!P$12</f>
        <v>4.0054977419988119E-2</v>
      </c>
      <c r="H47" s="400">
        <f>'A.일산테크노밸리(859991)_수정'!$P29*KTDB_TripDistribution_2025!Q$12</f>
        <v>138</v>
      </c>
      <c r="J47" s="230">
        <f t="shared" si="4"/>
        <v>138</v>
      </c>
      <c r="K47" s="206"/>
      <c r="L47" s="209" t="s">
        <v>13</v>
      </c>
      <c r="M47" s="213">
        <f>INDEX($A$45:$H$57,MATCH($L47,$B$45:$B$57,0),MATCH($M$44,$A$45:$H$45,0))*고양시_Modal_split!C$3 * 0.01</f>
        <v>4.2348007068525317E-2</v>
      </c>
      <c r="N47" s="207">
        <f>INDEX($A$45:$H$57,MATCH($L47,$B$45:$B$57,0),MATCH($M$44,$A$45:$H$45,0))*고양시_Modal_split!D$3 * 0.01</f>
        <v>7.1129527586883787</v>
      </c>
      <c r="O47" s="207">
        <f>INDEX($A$45:$H$57,MATCH($L47,$B$45:$B$57,0),MATCH($M$44,$A$45:$H$45,0))*고양시_Modal_split!E$3 * 0.01</f>
        <v>0.86057200078538942</v>
      </c>
      <c r="P47" s="207">
        <f>INDEX($A$45:$H$57,MATCH($L47,$B$45:$B$57,0),MATCH($M$44,$A$45:$H$45,0))*고양시_Modal_split!F$3 * 0.01</f>
        <v>1.3868972314942043</v>
      </c>
      <c r="Q47" s="207">
        <f>INDEX($A$45:$H$57,MATCH($L47,$B$45:$B$57,0),MATCH($M$44,$A$45:$H$45,0))*고양시_Modal_split!G$3 * 0.01</f>
        <v>0.13914345179658319</v>
      </c>
      <c r="R47" s="207">
        <f>INDEX($A$45:$H$57,MATCH($L47,$B$45:$B$57,0),MATCH($M$44,$A$45:$H$45,0))*고양시_Modal_split!H$3 * 0.01</f>
        <v>1.5124288238759043E-3</v>
      </c>
      <c r="S47" s="207">
        <f>INDEX($A$45:$H$57,MATCH($L47,$B$45:$B$57,0),MATCH($M$44,$A$45:$H$45,0))*고양시_Modal_split!I$3 * 0.01</f>
        <v>0.42045521303750139</v>
      </c>
      <c r="T47" s="207">
        <f>INDEX($A$45:$H$57,MATCH($L47,$B$45:$B$57,0),MATCH($M$44,$A$45:$H$45,0))*고양시_Modal_split!J$3 * 0.01</f>
        <v>4.6038333398782525</v>
      </c>
      <c r="U47" s="207">
        <f>INDEX($A$45:$H$57,MATCH($L47,$B$45:$B$57,0),MATCH($M$44,$A$45:$H$45,0))*고양시_Modal_split!K$3 * 0.01</f>
        <v>2.2686432358138563E-2</v>
      </c>
      <c r="V47" s="207">
        <f>INDEX($A$45:$H$57,MATCH($L47,$B$45:$B$57,0),MATCH($M$44,$A$45:$H$45,0))*고양시_Modal_split!L$3 * 0.01</f>
        <v>0.45675350481052313</v>
      </c>
      <c r="W47" s="207">
        <f>INDEX($A$45:$H$57,MATCH($L47,$B$45:$B$57,0),MATCH($M$44,$A$45:$H$45,0))*고양시_Modal_split!M$3 * 0.01</f>
        <v>3.4785862949145797E-2</v>
      </c>
      <c r="X47" s="207">
        <f>INDEX($A$45:$H$57,MATCH($L47,$B$45:$B$57,0),MATCH($M$44,$A$45:$H$45,0))*고양시_Modal_split!N$3 * 0.01</f>
        <v>1.5124288238759043E-2</v>
      </c>
      <c r="Y47" s="207">
        <f>INDEX($A$45:$H$57,MATCH($L47,$B$45:$B$57,0),MATCH($M$44,$A$45:$H$45,0))*고양시_Modal_split!O$3 * 0.01</f>
        <v>2.7223718829766277E-2</v>
      </c>
      <c r="Z47" s="214">
        <f>INDEX($A$45:$H$57,MATCH($L47,$B$45:$B$57,0),MATCH($M$44,$A$45:$H$45,0))*고양시_Modal_split!P$3 * 0.01</f>
        <v>15.124288238759043</v>
      </c>
      <c r="AA47" s="213">
        <f>INDEX($A$45:$H$57,MATCH($L47,$B$45:$B$57,0),MATCH($AA$44,$A$45:$H$45,0))*고양시_Modal_split!C$4 * 0.01</f>
        <v>35.800021990968006</v>
      </c>
      <c r="AB47" s="207">
        <f>INDEX($A$45:$H$57,MATCH($L47,$B$45:$B$57,0),MATCH($AA$44,$A$45:$H$45,0))*고양시_Modal_split!D$4 * 0.01</f>
        <v>37.717040251325365</v>
      </c>
      <c r="AC47" s="207">
        <f>INDEX($A$45:$H$57,MATCH($L47,$B$45:$B$57,0),MATCH($AA$44,$A$45:$H$45,0))*고양시_Modal_split!E$4 * 0.01</f>
        <v>9.1381790693108229</v>
      </c>
      <c r="AD47" s="207">
        <f>INDEX($A$45:$H$57,MATCH($L47,$B$45:$B$57,0),MATCH($AA$44,$A$45:$H$45,0))*고양시_Modal_split!F$4 * 0.01</f>
        <v>1.1172805811898687</v>
      </c>
      <c r="AE47" s="207">
        <f>INDEX($A$45:$H$57,MATCH($L47,$B$45:$B$57,0),MATCH($AA$44,$A$45:$H$45,0))*고양시_Modal_split!G$4 * 0.01</f>
        <v>13.771953269193014</v>
      </c>
      <c r="AF47" s="207">
        <f>INDEX($A$45:$H$57,MATCH($L47,$B$45:$B$57,0),MATCH($AA$44,$A$45:$H$45,0))*고양시_Modal_split!H$4 * 0.01</f>
        <v>0</v>
      </c>
      <c r="AG47" s="207">
        <f>INDEX($A$45:$H$57,MATCH($L47,$B$45:$B$57,0),MATCH($AA$44,$A$45:$H$45,0))*고양시_Modal_split!I$4 * 0.01</f>
        <v>4.0927751816218345</v>
      </c>
      <c r="AH47" s="207">
        <f>INDEX($A$45:$H$57,MATCH($L47,$B$45:$B$57,0),MATCH($AA$44,$A$45:$H$45,0))*고양시_Modal_split!J$4 * 0.01</f>
        <v>5.53935951305714</v>
      </c>
      <c r="AI47" s="207">
        <f>INDEX($A$45:$H$57,MATCH($L47,$B$45:$B$57,0),MATCH($AA$44,$A$45:$H$45,0))*고양시_Modal_split!K$4 * 0.01</f>
        <v>0</v>
      </c>
      <c r="AJ47" s="207">
        <f>INDEX($A$45:$H$57,MATCH($L47,$B$45:$B$57,0),MATCH($AA$44,$A$45:$H$45,0))*고양시_Modal_split!L$4 * 0.01</f>
        <v>5.4335118790496777</v>
      </c>
      <c r="AK47" s="207">
        <f>INDEX($A$45:$H$57,MATCH($L47,$B$45:$B$57,0),MATCH($AA$44,$A$45:$H$45,0))*고양시_Modal_split!M$4 * 0.01</f>
        <v>0.78797683094443383</v>
      </c>
      <c r="AL47" s="207">
        <f>INDEX($A$45:$H$57,MATCH($L47,$B$45:$B$57,0),MATCH($AA$44,$A$45:$H$45,0))*고양시_Modal_split!N$4 * 0.01</f>
        <v>2.9402120557628129</v>
      </c>
      <c r="AM47" s="207">
        <f>INDEX($A$45:$H$57,MATCH($L47,$B$45:$B$57,0),MATCH($AA$44,$A$45:$H$45,0))*고양시_Modal_split!O$4 * 0.01</f>
        <v>1.2701716080895353</v>
      </c>
      <c r="AN47" s="214">
        <f>INDEX($A$45:$H$57,MATCH($L47,$B$45:$B$57,0),MATCH($AA$44,$A$45:$H$45,0))*고양시_Modal_split!P$4 * 0.01</f>
        <v>117.60848223051251</v>
      </c>
      <c r="AO47" s="213">
        <f>INDEX($A$45:$H$57,MATCH($L47,$B$45:$B$57,0),MATCH($AO$44,$A$45:$H$45,0))*고양시_Modal_split!C$5 * 0.01</f>
        <v>3.1278225014726062E-3</v>
      </c>
      <c r="AP47" s="207">
        <f>INDEX($A$45:$H$57,MATCH($L47,$B$45:$B$57,0),MATCH($AO$44,$A$45:$H$45,0))*고양시_Modal_split!D$5 * 0.01</f>
        <v>3.8201138817985432</v>
      </c>
      <c r="AQ47" s="207">
        <f>INDEX($A$45:$H$57,MATCH($L47,$B$45:$B$57,0),MATCH($AO$44,$A$45:$H$45,0))*고양시_Modal_split!E$5 * 0.01</f>
        <v>0.51348419399175282</v>
      </c>
      <c r="AR47" s="207">
        <f>INDEX($A$45:$H$57,MATCH($L47,$B$45:$B$57,0),MATCH($AO$44,$A$45:$H$45,0))*고양시_Modal_split!F$5 * 0.01</f>
        <v>0.10947378755154123</v>
      </c>
      <c r="AS47" s="207">
        <f>INDEX($A$45:$H$57,MATCH($L47,$B$45:$B$57,0),MATCH($AO$44,$A$45:$H$45,0))*고양시_Modal_split!G$5 * 0.01</f>
        <v>3.388474376595324E-2</v>
      </c>
      <c r="AT47" s="207">
        <f>INDEX($A$45:$H$57,MATCH($L47,$B$45:$B$57,0),MATCH($AO$44,$A$45:$H$45,0))*고양시_Modal_split!H$5 * 0.01</f>
        <v>3.64912625171804E-3</v>
      </c>
      <c r="AU47" s="207">
        <f>INDEX($A$45:$H$57,MATCH($L47,$B$45:$B$57,0),MATCH($AO$44,$A$45:$H$45,0))*고양시_Modal_split!I$5 * 0.01</f>
        <v>0.14440113881798533</v>
      </c>
      <c r="AV47" s="207">
        <f>INDEX($A$45:$H$57,MATCH($L47,$B$45:$B$57,0),MATCH($AO$44,$A$45:$H$45,0))*고양시_Modal_split!J$5 * 0.01</f>
        <v>0.32685745140388739</v>
      </c>
      <c r="AW47" s="207">
        <f>INDEX($A$45:$H$57,MATCH($L47,$B$45:$B$57,0),MATCH($AO$44,$A$45:$H$45,0))*고양시_Modal_split!K$5 * 0.01</f>
        <v>1.0426075004908687E-3</v>
      </c>
      <c r="AX47" s="207">
        <f>INDEX($A$45:$H$57,MATCH($L47,$B$45:$B$57,0),MATCH($AO$44,$A$45:$H$45,0))*고양시_Modal_split!L$5 * 0.01</f>
        <v>0.13293245631258577</v>
      </c>
      <c r="AY47" s="207">
        <f>INDEX($A$45:$H$57,MATCH($L47,$B$45:$B$57,0),MATCH($AO$44,$A$45:$H$45,0))*고양시_Modal_split!M$5 * 0.01</f>
        <v>3.4927351266444105E-2</v>
      </c>
      <c r="AZ47" s="207">
        <f>INDEX($A$45:$H$57,MATCH($L47,$B$45:$B$57,0),MATCH($AO$44,$A$45:$H$45,0))*고양시_Modal_split!N$5 * 0.01</f>
        <v>8.8621637541723836E-3</v>
      </c>
      <c r="BA47" s="207">
        <f>INDEX($A$45:$H$57,MATCH($L47,$B$45:$B$57,0),MATCH($AO$44,$A$45:$H$45,0))*고양시_Modal_split!O$5 * 0.01</f>
        <v>8.0280777537796888E-2</v>
      </c>
      <c r="BB47" s="214">
        <f>INDEX($A$45:$H$57,MATCH($L47,$B$45:$B$57,0),MATCH($AO$44,$A$45:$H$45,0))*고양시_Modal_split!P$5 * 0.01</f>
        <v>5.2130375024543438</v>
      </c>
      <c r="BC47" s="213">
        <f>INDEX($A$45:$H$57,MATCH($L47,$B$45:$B$57,0),MATCH($BC$44,$A$45:$H$45,0))*고양시_Modal_split!C$6 * 0.01</f>
        <v>0</v>
      </c>
      <c r="BD47" s="207">
        <f>INDEX($A$45:$H$57,MATCH($L47,$B$45:$B$57,0),MATCH($BC$44,$A$45:$H$45,0))*고양시_Modal_split!D$6 * 0.01</f>
        <v>1.170689181229141E-2</v>
      </c>
      <c r="BE47" s="207">
        <f>INDEX($A$45:$H$57,MATCH($L47,$B$45:$B$57,0),MATCH($BC$44,$A$45:$H$45,0))*고양시_Modal_split!E$6 * 0.01</f>
        <v>6.0789318672688163E-5</v>
      </c>
      <c r="BF47" s="207">
        <f>INDEX($A$45:$H$57,MATCH($L47,$B$45:$B$57,0),MATCH($BC$44,$A$45:$H$45,0))*고양시_Modal_split!F$6 * 0.01</f>
        <v>1.72472020420185E-4</v>
      </c>
      <c r="BG47" s="207">
        <f>INDEX($A$45:$H$57,MATCH($L47,$B$45:$B$57,0),MATCH($BC$44,$A$45:$H$45,0))*고양시_Modal_split!G$6 * 0.01</f>
        <v>0</v>
      </c>
      <c r="BH47" s="207">
        <f>INDEX($A$45:$H$57,MATCH($L47,$B$45:$B$57,0),MATCH($BC$44,$A$45:$H$45,0))*고양시_Modal_split!H$6 * 0.01</f>
        <v>7.5067740035342819E-4</v>
      </c>
      <c r="BI47" s="207">
        <f>INDEX($A$45:$H$57,MATCH($L47,$B$45:$B$57,0),MATCH($BC$44,$A$45:$H$45,0))*고양시_Modal_split!I$6 * 0.01</f>
        <v>5.0045160023561876E-4</v>
      </c>
      <c r="BJ47" s="207">
        <f>INDEX($A$45:$H$57,MATCH($L47,$B$45:$B$57,0),MATCH($BC$44,$A$45:$H$45,0))*고양시_Modal_split!J$6 * 0.01</f>
        <v>6.9837031219320805E-4</v>
      </c>
      <c r="BK47" s="207">
        <f>INDEX($A$45:$H$57,MATCH($L47,$B$45:$B$57,0),MATCH($BC$44,$A$45:$H$45,0))*고양시_Modal_split!K$6 * 0.01</f>
        <v>0</v>
      </c>
      <c r="BL47" s="207">
        <f>INDEX($A$45:$H$57,MATCH($L47,$B$45:$B$57,0),MATCH($BC$44,$A$45:$H$45,0))*고양시_Modal_split!L$6 * 0.01</f>
        <v>1.0744158649126279E-4</v>
      </c>
      <c r="BM47" s="207">
        <f>INDEX($A$45:$H$57,MATCH($L47,$B$45:$B$57,0),MATCH($BC$44,$A$45:$H$45,0))*고양시_Modal_split!M$6 * 0.01</f>
        <v>1.2864716277243308E-4</v>
      </c>
      <c r="BN47" s="207">
        <f>INDEX($A$45:$H$57,MATCH($L47,$B$45:$B$57,0),MATCH($BC$44,$A$45:$H$45,0))*고양시_Modal_split!N$6 * 0.01</f>
        <v>0</v>
      </c>
      <c r="BO47" s="207">
        <f>INDEX($A$45:$H$57,MATCH($L47,$B$45:$B$57,0),MATCH($BC$44,$A$45:$H$45,0))*고양시_Modal_split!O$6 * 0.01</f>
        <v>1.130964068329082E-5</v>
      </c>
      <c r="BP47" s="214">
        <f>INDEX($A$45:$H$57,MATCH($L47,$B$45:$B$57,0),MATCH($BC$44,$A$45:$H$45,0))*고양시_Modal_split!P$6 * 0.01</f>
        <v>1.4137050854113525E-2</v>
      </c>
      <c r="BQ47" s="213">
        <f>INDEX($A$45:$H$57,MATCH($L47,$B$45:$B$57,0),MATCH($BQ$44,$A$45:$H$45,0))*고양시_Modal_split!C$7 * 0.01</f>
        <v>0</v>
      </c>
      <c r="BR47" s="207">
        <f>INDEX($A$45:$H$57,MATCH($L47,$B$45:$B$57,0),MATCH($BQ$44,$A$45:$H$45,0))*고양시_Modal_split!D$7 * 0.01</f>
        <v>2.454569016296872E-2</v>
      </c>
      <c r="BS47" s="207">
        <f>INDEX($A$45:$H$57,MATCH($L47,$B$45:$B$57,0),MATCH($BQ$44,$A$45:$H$45,0))*고양시_Modal_split!E$7 * 0.01</f>
        <v>1.1976438248576448E-3</v>
      </c>
      <c r="BT47" s="207">
        <f>INDEX($A$45:$H$57,MATCH($L47,$B$45:$B$57,0),MATCH($BQ$44,$A$45:$H$45,0))*고양시_Modal_split!F$7 * 0.01</f>
        <v>4.0054977419988122E-4</v>
      </c>
      <c r="BU47" s="207">
        <f>INDEX($A$45:$H$57,MATCH($L47,$B$45:$B$57,0),MATCH($BQ$44,$A$45:$H$45,0))*고양시_Modal_split!G$7 * 0.01</f>
        <v>1.6823090516395009E-4</v>
      </c>
      <c r="BV47" s="207">
        <f>INDEX($A$45:$H$57,MATCH($L47,$B$45:$B$57,0),MATCH($BQ$44,$A$45:$H$45,0))*고양시_Modal_split!H$7 * 0.01</f>
        <v>2.2390732377773359E-3</v>
      </c>
      <c r="BW47" s="207">
        <f>INDEX($A$45:$H$57,MATCH($L47,$B$45:$B$57,0),MATCH($BQ$44,$A$45:$H$45,0))*고양시_Modal_split!I$7 * 0.01</f>
        <v>7.4782642843117834E-3</v>
      </c>
      <c r="BX47" s="207">
        <f>INDEX($A$45:$H$57,MATCH($L47,$B$45:$B$57,0),MATCH($BQ$44,$A$45:$H$45,0))*고양시_Modal_split!J$7 * 0.01</f>
        <v>8.0109954839976242E-6</v>
      </c>
      <c r="BY47" s="207">
        <f>INDEX($A$45:$H$57,MATCH($L47,$B$45:$B$57,0),MATCH($BQ$44,$A$45:$H$45,0))*고양시_Modal_split!K$7 * 0.01</f>
        <v>3.0842332613390854E-3</v>
      </c>
      <c r="BZ47" s="207">
        <f>INDEX($A$45:$H$57,MATCH($L47,$B$45:$B$57,0),MATCH($BQ$44,$A$45:$H$45,0))*고양시_Modal_split!L$7 * 0.01</f>
        <v>2.8038484193991682E-5</v>
      </c>
      <c r="CA47" s="207">
        <f>INDEX($A$45:$H$57,MATCH($L47,$B$45:$B$57,0),MATCH($BQ$44,$A$45:$H$45,0))*고양시_Modal_split!M$7 * 0.01</f>
        <v>7.4902807775377792E-4</v>
      </c>
      <c r="CB47" s="207">
        <f>INDEX($A$45:$H$57,MATCH($L47,$B$45:$B$57,0),MATCH($BQ$44,$A$45:$H$45,0))*고양시_Modal_split!N$7 * 0.01</f>
        <v>1.5621441193795364E-4</v>
      </c>
      <c r="CC47" s="207">
        <f>INDEX($A$45:$H$57,MATCH($L47,$B$45:$B$57,0),MATCH($BQ$44,$A$45:$H$45,0))*고양시_Modal_split!O$7 * 0.01</f>
        <v>0</v>
      </c>
      <c r="CD47" s="214">
        <f>INDEX($A$45:$H$57,MATCH($L47,$B$45:$B$57,0),MATCH($BQ$44,$A$45:$H$45,0))*고양시_Modal_split!P$7 * 0.01</f>
        <v>4.0054977419988119E-2</v>
      </c>
      <c r="CE47" s="218">
        <f t="shared" ref="CE47:CE57" si="22">M47+AA47+AO47+BC47+BQ47</f>
        <v>35.845497820538007</v>
      </c>
      <c r="CF47" s="208">
        <f t="shared" si="5"/>
        <v>48.68635947378754</v>
      </c>
      <c r="CG47" s="208">
        <f t="shared" si="6"/>
        <v>10.513493697231494</v>
      </c>
      <c r="CH47" s="208">
        <f t="shared" si="7"/>
        <v>2.6142246220302345</v>
      </c>
      <c r="CI47" s="208">
        <f t="shared" si="8"/>
        <v>13.945149695660714</v>
      </c>
      <c r="CJ47" s="208">
        <f t="shared" si="9"/>
        <v>8.1513057137247089E-3</v>
      </c>
      <c r="CK47" s="208">
        <f t="shared" si="10"/>
        <v>4.665610249361869</v>
      </c>
      <c r="CL47" s="208">
        <f t="shared" si="11"/>
        <v>10.470756685646958</v>
      </c>
      <c r="CM47" s="208">
        <f t="shared" si="12"/>
        <v>2.6813273119968516E-2</v>
      </c>
      <c r="CN47" s="208">
        <f t="shared" si="13"/>
        <v>6.0233333202434718</v>
      </c>
      <c r="CO47" s="208">
        <f t="shared" si="14"/>
        <v>0.85856772040054985</v>
      </c>
      <c r="CP47" s="208">
        <f t="shared" si="15"/>
        <v>2.9643547221676827</v>
      </c>
      <c r="CQ47" s="208">
        <f t="shared" si="16"/>
        <v>1.3776874140977819</v>
      </c>
      <c r="CR47" s="219">
        <f t="shared" si="17"/>
        <v>138</v>
      </c>
      <c r="CS47" s="225">
        <f t="shared" ref="CS47:CS57" si="23">H47-CR47</f>
        <v>0</v>
      </c>
      <c r="CV47" s="265"/>
      <c r="CW47" s="266" t="s">
        <v>13</v>
      </c>
      <c r="CX47" s="267">
        <f>INDEX($M$44:$Z$57,MATCH($CW47,$L$44:$L$57,0),MATCH(CX$45,$M$45:$Z$45,0))/INDEX(고양시_재차인원!$D$4:$H$35,MATCH("고양시",고양시_재차인원!$B$4:$B$35,0),MATCH('A.일산테크노밸리(859991)_수정'!$CX$44,고양시_재차인원!$D$4:$H$4,0))</f>
        <v>6.3508506774003379</v>
      </c>
      <c r="CY47" s="267">
        <f>INDEX($M$44:$Z$57,MATCH($CW47,$L$44:$L$57,0),MATCH(CY$45,$M$45:$Z$45,0))/INDEX(고양시_재차인원!$K$4:$O$20,MATCH("경기도",고양시_재차인원!$K$4:$K$20,0),MATCH('A.일산테크노밸리(859991)_수정'!CY$45,고양시_재차인원!$K$4:$O$4,0))</f>
        <v>5.2533130388187023E-5</v>
      </c>
      <c r="CZ47" s="267">
        <f>INDEX($M$44:$Z$57,MATCH($CW47,$L$44:$L$57,0),MATCH(CZ$45,$M$45:$Z$45,0))/INDEX(고양시_재차인원!$K$4:$O$20,MATCH("경기도",고양시_재차인원!$K$4:$K$20,0),MATCH('A.일산테크노밸리(859991)_수정'!CZ$45,고양시_재차인원!$K$4:$O$4,0))</f>
        <v>1.4604210247915991E-2</v>
      </c>
      <c r="DA47" s="267">
        <f>INDEX($M$44:$Z$57,MATCH($CW47,$L$44:$L$57,0),MATCH(DA$45,$M$45:$Z$45,0))/INDEX(고양시_재차인원!$K$4:$O$20,MATCH("경기도",고양시_재차인원!$K$4:$K$20,0),MATCH('A.일산테크노밸리(859991)_수정'!DA$45,고양시_재차인원!$K$4:$O$4,0))</f>
        <v>0.30450233654034875</v>
      </c>
      <c r="DB47" s="268">
        <f>INDEX($AA$44:$AN$57,MATCH($CW47,$L$44:$L$57,0),MATCH(DB$45,$AA$45:$AN$45,0))/INDEX(고양시_재차인원!$D$4:$H$35,MATCH("고양시",고양시_재차인원!$B$4:$B$35,0),MATCH('A.일산테크노밸리(859991)_수정'!$DB$44,고양시_재차인원!$D$4:$H$4,0))</f>
        <v>26.749673937110188</v>
      </c>
      <c r="DC47" s="267">
        <f>INDEX($AA$44:$AN$57,MATCH($CW47,$L$44:$L$57,0),MATCH(DC$45,$AA$45:$AN$45,0))/INDEX(고양시_재차인원!$K$4:$O$20,MATCH("경기도",고양시_재차인원!$K$4:$K$20,0),MATCH('A.일산테크노밸리(859991)_수정'!DC$45,고양시_재차인원!$K$4:$O$4,0))</f>
        <v>0</v>
      </c>
      <c r="DD47" s="267">
        <f>INDEX($AA$44:$AN$57,MATCH($CW47,$L$44:$L$57,0),MATCH(DD$45,$AA$45:$AN$45,0))/INDEX(고양시_재차인원!$K$4:$O$20,MATCH("경기도",고양시_재차인원!$K$4:$K$20,0),MATCH('A.일산테크노밸리(859991)_수정'!DD$45,고양시_재차인원!$K$4:$O$4,0))</f>
        <v>0.14215961033768096</v>
      </c>
      <c r="DE47" s="267">
        <f>INDEX($AA$44:$AN$57,MATCH($CW47,$L$44:$L$57,0),MATCH(DE$45,$AA$45:$AN$45,0))/INDEX(고양시_재차인원!$K$4:$O$20,MATCH("경기도",고양시_재차인원!$K$4:$K$20,0),MATCH('A.일산테크노밸리(859991)_수정'!DE$45,고양시_재차인원!$K$4:$O$4,0))</f>
        <v>3.6223412526997851</v>
      </c>
      <c r="DF47" s="268">
        <f>INDEX($AO$44:$BB$57,MATCH($CW47,$L$44:$L$57,0),MATCH(DF$45,$AO$45:$BB$45,0))/INDEX(고양시_재차인원!$D$4:$H$35,MATCH("고양시",고양시_재차인원!$B$4:$B$35,0),MATCH('A.일산테크노밸리(859991)_수정'!$DF$44,고양시_재차인원!$D$4:$H$4,0))</f>
        <v>2.938549139845033</v>
      </c>
      <c r="DG47" s="267">
        <f>INDEX($AO$44:$BB$57,MATCH($CW47,$L$44:$L$57,0),MATCH(DG$45,$AO$45:$BB$45,0))/INDEX(고양시_재차인원!$K$4:$O$20,MATCH("경기도",고양시_재차인원!$K$4:$K$20,0),MATCH('A.일산테크노밸리(859991)_수정'!DG$45,고양시_재차인원!$K$4:$O$4,0))</f>
        <v>1.2674978297040778E-4</v>
      </c>
      <c r="DH47" s="267">
        <f>INDEX($AO$44:$BB$57,MATCH($CW47,$L$44:$L$57,0),MATCH(DH$45,$AO$45:$BB$45,0))/INDEX(고양시_재차인원!$K$4:$O$20,MATCH("경기도",고양시_재차인원!$K$4:$K$20,0),MATCH('A.일산테크노밸리(859991)_수정'!DH$45,고양시_재차인원!$K$4:$O$4,0))</f>
        <v>5.015669983257566E-3</v>
      </c>
      <c r="DI47" s="267">
        <f>INDEX($AO$44:$BB$57,MATCH($CW47,$L$44:$L$57,0),MATCH(DI$45,$AO$45:$BB$45,0))/INDEX(고양시_재차인원!$K$4:$O$20,MATCH("경기도",고양시_재차인원!$K$4:$K$20,0),MATCH('A.일산테크노밸리(859991)_수정'!DI$45,고양시_재차인원!$K$4:$O$4,0))</f>
        <v>8.8621637541723849E-2</v>
      </c>
      <c r="DJ47" s="268">
        <f>INDEX($BC$44:$BP$57,MATCH($CW47,$L$44:$L$57,0),MATCH(DJ$45,$BC$45:$BP$45,0))/INDEX(고양시_재차인원!$D$4:$H$35,MATCH("고양시",고양시_재차인원!$B$4:$B$35,0),MATCH('A.일산테크노밸리(859991)_수정'!$DJ$44,고양시_재차인원!$D$4:$H$4,0))</f>
        <v>8.6080086855083882E-3</v>
      </c>
      <c r="DK47" s="267">
        <f>INDEX($BC$44:$BP$57,MATCH($CW47,$L$44:$L$57,0),MATCH(DK$45,$BC$45:$BP$45,0))/INDEX(고양시_재차인원!$K$4:$O$20,MATCH("경기도",고양시_재차인원!$K$4:$K$20,0),MATCH('A.일산테크노밸리(859991)_수정'!DK$45,고양시_재차인원!$K$4:$O$4,0))</f>
        <v>2.6074241068198272E-5</v>
      </c>
      <c r="DL47" s="267">
        <f>INDEX($BC$44:$BP$57,MATCH($CW47,$L$44:$L$57,0),MATCH(DL$45,$BC$45:$BP$45,0))/INDEX(고양시_재차인원!$K$4:$O$20,MATCH("경기도",고양시_재차인원!$K$4:$K$20,0),MATCH('A.일산테크노밸리(859991)_수정'!DL$45,고양시_재차인원!$K$4:$O$4,0))</f>
        <v>1.7382827378798846E-5</v>
      </c>
      <c r="DM47" s="267">
        <f>INDEX($BC$44:$BP$57,MATCH($CW47,$L$44:$L$57,0),MATCH(DM$45,$BC$45:$BP$45,0))/INDEX(고양시_재차인원!$K$4:$O$20,MATCH("경기도",고양시_재차인원!$K$4:$K$20,0),MATCH('A.일산테크노밸리(859991)_수정'!DM$45,고양시_재차인원!$K$4:$O$4,0))</f>
        <v>7.1627724327508519E-5</v>
      </c>
      <c r="DN47" s="268">
        <f>INDEX($BQ$44:$CD$57,MATCH($CW47,$L$44:$L$57,0),MATCH(DN$45,$BQ$45:$CD$45,0))/INDEX(고양시_재차인원!$D$4:$H$35,MATCH("고양시",고양시_재차인원!$B$4:$B$35,0),MATCH('A.일산테크노밸리(859991)_수정'!$DN$44,고양시_재차인원!$D$4:$H$4,0))</f>
        <v>1.9480706478546602E-2</v>
      </c>
      <c r="DO47" s="267">
        <f>INDEX($BQ$44:$CD$57,MATCH($CW47,$L$44:$L$57,0),MATCH(DO$45,$BQ$45:$CD$45,0))/INDEX(고양시_재차인원!$K$4:$O$20,MATCH("경기도",고양시_재차인원!$K$4:$K$20,0),MATCH('A.일산테크노밸리(859991)_수정'!DO$45,고양시_재차인원!$K$4:$O$4,0))</f>
        <v>7.7772602909945669E-5</v>
      </c>
      <c r="DP47" s="267">
        <f>INDEX($BQ$44:$CD$57,MATCH($CW47,$L$44:$L$57,0),MATCH(DP$45,$BQ$45:$CD$45,0))/INDEX(고양시_재차인원!$K$4:$O$20,MATCH("경기도",고양시_재차인원!$K$4:$K$20,0),MATCH('A.일산테크노밸리(859991)_수정'!DP$45,고양시_재차인원!$K$4:$O$4,0))</f>
        <v>2.5975214603375418E-4</v>
      </c>
      <c r="DQ47" s="267">
        <f>INDEX($BQ$44:$CD$57,MATCH($CW47,$L$44:$L$57,0),MATCH(DQ$45,$BQ$45:$CD$45,0))/INDEX(고양시_재차인원!$K$4:$O$20,MATCH("경기도",고양시_재차인원!$K$4:$K$20,0),MATCH('A.일산테크노밸리(859991)_수정'!DQ$45,고양시_재차인원!$K$4:$O$4,0))</f>
        <v>1.8692322795994456E-5</v>
      </c>
      <c r="DR47" s="269">
        <f t="shared" ref="DR47:DR57" si="24">CX47+DB47+DF47+DJ47+DN47</f>
        <v>36.067162469519609</v>
      </c>
      <c r="DS47" s="270">
        <f t="shared" si="18"/>
        <v>2.831297573367387E-4</v>
      </c>
      <c r="DT47" s="270">
        <f t="shared" si="19"/>
        <v>0.16205662554226705</v>
      </c>
      <c r="DU47" s="270">
        <f t="shared" si="20"/>
        <v>4.0155555468289821</v>
      </c>
      <c r="DW47" s="278"/>
      <c r="DX47" s="278" t="s">
        <v>591</v>
      </c>
      <c r="DY47" s="281">
        <f t="shared" ref="DY47:DY51" si="25">DR47+DU47</f>
        <v>40.082718016348593</v>
      </c>
      <c r="DZ47" s="281">
        <f t="shared" ref="DZ47:DZ51" si="26">DS47+DT47</f>
        <v>0.16233975529960379</v>
      </c>
      <c r="EC47" s="412" t="s">
        <v>13</v>
      </c>
      <c r="ED47" s="412" t="s">
        <v>569</v>
      </c>
      <c r="EE47" s="412">
        <v>907.24059999999997</v>
      </c>
      <c r="EF47" s="412">
        <v>0.22444210067316503</v>
      </c>
      <c r="EG47" s="413">
        <v>859002</v>
      </c>
      <c r="EH47" s="414">
        <f t="shared" ref="EH47:EH90" si="27">VLOOKUP($EM47,$DX$45:$DZ$54,2,FALSE)*EF47*$AY$11*(1-$BD$7)</f>
        <v>7.865870691113491</v>
      </c>
      <c r="EI47" s="415">
        <f t="shared" ref="EI47:EI90" si="28">VLOOKUP($EM47,$DX$45:$DZ$54,3,FALSE)*EF47*$AY$11*(1-$BD$7)</f>
        <v>3.1857707920227886E-2</v>
      </c>
      <c r="EJ47" s="402">
        <v>0</v>
      </c>
      <c r="EM47" s="278" t="s">
        <v>13</v>
      </c>
      <c r="EN47" s="278" t="s">
        <v>569</v>
      </c>
      <c r="EO47" s="278">
        <v>907.24059999999997</v>
      </c>
      <c r="EP47" s="278">
        <v>0.22444210067316503</v>
      </c>
      <c r="EQ47" s="289">
        <v>859002</v>
      </c>
      <c r="ER47" s="290">
        <f t="shared" ref="ER47:ER90" si="29">EH47*$EA$39</f>
        <v>7.865870691113491</v>
      </c>
      <c r="ES47" s="291">
        <f t="shared" si="21"/>
        <v>3.1857707920227886E-2</v>
      </c>
      <c r="ET47" s="402">
        <v>0</v>
      </c>
      <c r="EV47" s="34"/>
      <c r="EW47" s="34"/>
      <c r="EX47" s="34"/>
      <c r="EY47" s="34"/>
      <c r="EZ47" s="378"/>
      <c r="FA47" s="401"/>
      <c r="FB47" s="402"/>
      <c r="FC47" s="402"/>
    </row>
    <row r="48" spans="1:159" ht="27" customHeight="1">
      <c r="A48" s="205"/>
      <c r="B48" s="205" t="s">
        <v>484</v>
      </c>
      <c r="C48" s="400">
        <f>'A.일산테크노밸리(859991)_수정'!$P30*KTDB_TripDistribution_2025!L$12</f>
        <v>112.66498774959634</v>
      </c>
      <c r="D48" s="400">
        <f>'A.일산테크노밸리(859991)_수정'!$P30*KTDB_TripDistribution_2025!M$12</f>
        <v>876.09796907946998</v>
      </c>
      <c r="E48" s="400">
        <f>'A.일산테크노밸리(859991)_수정'!$P30*KTDB_TripDistribution_2025!N$12</f>
        <v>38.83335182987728</v>
      </c>
      <c r="F48" s="400">
        <f>'A.일산테크노밸리(859991)_수정'!$P30*KTDB_TripDistribution_2025!O$12</f>
        <v>0.10531078462339641</v>
      </c>
      <c r="G48" s="400">
        <f>'A.일산테크노밸리(859991)_수정'!$P30*KTDB_TripDistribution_2025!P$12</f>
        <v>0.29838055643295497</v>
      </c>
      <c r="H48" s="400">
        <f>'A.일산테크노밸리(859991)_수정'!$P30*KTDB_TripDistribution_2025!Q$12</f>
        <v>1028</v>
      </c>
      <c r="J48" s="230">
        <f t="shared" si="4"/>
        <v>1028</v>
      </c>
      <c r="K48" s="206"/>
      <c r="L48" s="209" t="s">
        <v>14</v>
      </c>
      <c r="M48" s="213">
        <f>INDEX($A$45:$H$57,MATCH($L48,$B$45:$B$57,0),MATCH($M$44,$A$45:$H$45,0))*고양시_Modal_split!C$3 * 0.01</f>
        <v>0.3154619656988697</v>
      </c>
      <c r="N48" s="207">
        <f>INDEX($A$45:$H$57,MATCH($L48,$B$45:$B$57,0),MATCH($M$44,$A$45:$H$45,0))*고양시_Modal_split!D$3 * 0.01</f>
        <v>52.986343738635163</v>
      </c>
      <c r="O48" s="207">
        <f>INDEX($A$45:$H$57,MATCH($L48,$B$45:$B$57,0),MATCH($M$44,$A$45:$H$45,0))*고양시_Modal_split!E$3 * 0.01</f>
        <v>6.4106378029520306</v>
      </c>
      <c r="P48" s="207">
        <f>INDEX($A$45:$H$57,MATCH($L48,$B$45:$B$57,0),MATCH($M$44,$A$45:$H$45,0))*고양시_Modal_split!F$3 * 0.01</f>
        <v>10.331379376637983</v>
      </c>
      <c r="Q48" s="207">
        <f>INDEX($A$45:$H$57,MATCH($L48,$B$45:$B$57,0),MATCH($M$44,$A$45:$H$45,0))*고양시_Modal_split!G$3 * 0.01</f>
        <v>1.0365178872962861</v>
      </c>
      <c r="R48" s="207">
        <f>INDEX($A$45:$H$57,MATCH($L48,$B$45:$B$57,0),MATCH($M$44,$A$45:$H$45,0))*고양시_Modal_split!H$3 * 0.01</f>
        <v>1.1266498774959634E-2</v>
      </c>
      <c r="S48" s="207">
        <f>INDEX($A$45:$H$57,MATCH($L48,$B$45:$B$57,0),MATCH($M$44,$A$45:$H$45,0))*고양시_Modal_split!I$3 * 0.01</f>
        <v>3.132086659438778</v>
      </c>
      <c r="T48" s="207">
        <f>INDEX($A$45:$H$57,MATCH($L48,$B$45:$B$57,0),MATCH($M$44,$A$45:$H$45,0))*고양시_Modal_split!J$3 * 0.01</f>
        <v>34.295222270977128</v>
      </c>
      <c r="U48" s="207">
        <f>INDEX($A$45:$H$57,MATCH($L48,$B$45:$B$57,0),MATCH($M$44,$A$45:$H$45,0))*고양시_Modal_split!K$3 * 0.01</f>
        <v>0.16899748162439451</v>
      </c>
      <c r="V48" s="207">
        <f>INDEX($A$45:$H$57,MATCH($L48,$B$45:$B$57,0),MATCH($M$44,$A$45:$H$45,0))*고양시_Modal_split!L$3 * 0.01</f>
        <v>3.4024826300378095</v>
      </c>
      <c r="W48" s="207">
        <f>INDEX($A$45:$H$57,MATCH($L48,$B$45:$B$57,0),MATCH($M$44,$A$45:$H$45,0))*고양시_Modal_split!M$3 * 0.01</f>
        <v>0.25912947182407153</v>
      </c>
      <c r="X48" s="207">
        <f>INDEX($A$45:$H$57,MATCH($L48,$B$45:$B$57,0),MATCH($M$44,$A$45:$H$45,0))*고양시_Modal_split!N$3 * 0.01</f>
        <v>0.11266498774959635</v>
      </c>
      <c r="Y48" s="207">
        <f>INDEX($A$45:$H$57,MATCH($L48,$B$45:$B$57,0),MATCH($M$44,$A$45:$H$45,0))*고양시_Modal_split!O$3 * 0.01</f>
        <v>0.2027969779492734</v>
      </c>
      <c r="Z48" s="214">
        <f>INDEX($A$45:$H$57,MATCH($L48,$B$45:$B$57,0),MATCH($M$44,$A$45:$H$45,0))*고양시_Modal_split!P$3 * 0.01</f>
        <v>112.66498774959634</v>
      </c>
      <c r="AA48" s="213">
        <f>INDEX($A$45:$H$57,MATCH($L48,$B$45:$B$57,0),MATCH($AA$44,$A$45:$H$45,0))*고양시_Modal_split!C$4 * 0.01</f>
        <v>266.68422178779065</v>
      </c>
      <c r="AB48" s="207">
        <f>INDEX($A$45:$H$57,MATCH($L48,$B$45:$B$57,0),MATCH($AA$44,$A$45:$H$45,0))*고양시_Modal_split!D$4 * 0.01</f>
        <v>280.96461868378606</v>
      </c>
      <c r="AC48" s="207">
        <f>INDEX($A$45:$H$57,MATCH($L48,$B$45:$B$57,0),MATCH($AA$44,$A$45:$H$45,0))*고양시_Modal_split!E$4 * 0.01</f>
        <v>68.072812197474818</v>
      </c>
      <c r="AD48" s="207">
        <f>INDEX($A$45:$H$57,MATCH($L48,$B$45:$B$57,0),MATCH($AA$44,$A$45:$H$45,0))*고양시_Modal_split!F$4 * 0.01</f>
        <v>8.3229307062549633</v>
      </c>
      <c r="AE48" s="207">
        <f>INDEX($A$45:$H$57,MATCH($L48,$B$45:$B$57,0),MATCH($AA$44,$A$45:$H$45,0))*고양시_Modal_split!G$4 * 0.01</f>
        <v>102.59107217920594</v>
      </c>
      <c r="AF48" s="207">
        <f>INDEX($A$45:$H$57,MATCH($L48,$B$45:$B$57,0),MATCH($AA$44,$A$45:$H$45,0))*고양시_Modal_split!H$4 * 0.01</f>
        <v>0</v>
      </c>
      <c r="AG48" s="207">
        <f>INDEX($A$45:$H$57,MATCH($L48,$B$45:$B$57,0),MATCH($AA$44,$A$45:$H$45,0))*고양시_Modal_split!I$4 * 0.01</f>
        <v>30.488209323965552</v>
      </c>
      <c r="AH48" s="207">
        <f>INDEX($A$45:$H$57,MATCH($L48,$B$45:$B$57,0),MATCH($AA$44,$A$45:$H$45,0))*고양시_Modal_split!J$4 * 0.01</f>
        <v>41.264214343643033</v>
      </c>
      <c r="AI48" s="207">
        <f>INDEX($A$45:$H$57,MATCH($L48,$B$45:$B$57,0),MATCH($AA$44,$A$45:$H$45,0))*고양시_Modal_split!K$4 * 0.01</f>
        <v>0</v>
      </c>
      <c r="AJ48" s="207">
        <f>INDEX($A$45:$H$57,MATCH($L48,$B$45:$B$57,0),MATCH($AA$44,$A$45:$H$45,0))*고양시_Modal_split!L$4 * 0.01</f>
        <v>40.475726171471514</v>
      </c>
      <c r="AK48" s="207">
        <f>INDEX($A$45:$H$57,MATCH($L48,$B$45:$B$57,0),MATCH($AA$44,$A$45:$H$45,0))*고양시_Modal_split!M$4 * 0.01</f>
        <v>5.8698563928324496</v>
      </c>
      <c r="AL48" s="207">
        <f>INDEX($A$45:$H$57,MATCH($L48,$B$45:$B$57,0),MATCH($AA$44,$A$45:$H$45,0))*고양시_Modal_split!N$4 * 0.01</f>
        <v>21.90244922698675</v>
      </c>
      <c r="AM48" s="207">
        <f>INDEX($A$45:$H$57,MATCH($L48,$B$45:$B$57,0),MATCH($AA$44,$A$45:$H$45,0))*고양시_Modal_split!O$4 * 0.01</f>
        <v>9.4618580660582765</v>
      </c>
      <c r="AN48" s="214">
        <f>INDEX($A$45:$H$57,MATCH($L48,$B$45:$B$57,0),MATCH($AA$44,$A$45:$H$45,0))*고양시_Modal_split!P$4 * 0.01</f>
        <v>876.09796907946998</v>
      </c>
      <c r="AO48" s="213">
        <f>INDEX($A$45:$H$57,MATCH($L48,$B$45:$B$57,0),MATCH($AO$44,$A$45:$H$45,0))*고양시_Modal_split!C$5 * 0.01</f>
        <v>2.3300011097926367E-2</v>
      </c>
      <c r="AP48" s="207">
        <f>INDEX($A$45:$H$57,MATCH($L48,$B$45:$B$57,0),MATCH($AO$44,$A$45:$H$45,0))*고양시_Modal_split!D$5 * 0.01</f>
        <v>28.457080220934074</v>
      </c>
      <c r="AQ48" s="207">
        <f>INDEX($A$45:$H$57,MATCH($L48,$B$45:$B$57,0),MATCH($AO$44,$A$45:$H$45,0))*고양시_Modal_split!E$5 * 0.01</f>
        <v>3.8250851552429119</v>
      </c>
      <c r="AR48" s="207">
        <f>INDEX($A$45:$H$57,MATCH($L48,$B$45:$B$57,0),MATCH($AO$44,$A$45:$H$45,0))*고양시_Modal_split!F$5 * 0.01</f>
        <v>0.81550038842742301</v>
      </c>
      <c r="AS48" s="207">
        <f>INDEX($A$45:$H$57,MATCH($L48,$B$45:$B$57,0),MATCH($AO$44,$A$45:$H$45,0))*고양시_Modal_split!G$5 * 0.01</f>
        <v>0.25241678689420233</v>
      </c>
      <c r="AT48" s="207">
        <f>INDEX($A$45:$H$57,MATCH($L48,$B$45:$B$57,0),MATCH($AO$44,$A$45:$H$45,0))*고양시_Modal_split!H$5 * 0.01</f>
        <v>2.7183346280914091E-2</v>
      </c>
      <c r="AU48" s="207">
        <f>INDEX($A$45:$H$57,MATCH($L48,$B$45:$B$57,0),MATCH($AO$44,$A$45:$H$45,0))*고양시_Modal_split!I$5 * 0.01</f>
        <v>1.0756838456876008</v>
      </c>
      <c r="AV48" s="207">
        <f>INDEX($A$45:$H$57,MATCH($L48,$B$45:$B$57,0),MATCH($AO$44,$A$45:$H$45,0))*고양시_Modal_split!J$5 * 0.01</f>
        <v>2.4348511597333053</v>
      </c>
      <c r="AW48" s="207">
        <f>INDEX($A$45:$H$57,MATCH($L48,$B$45:$B$57,0),MATCH($AO$44,$A$45:$H$45,0))*고양시_Modal_split!K$5 * 0.01</f>
        <v>7.7666703659754564E-3</v>
      </c>
      <c r="AX48" s="207">
        <f>INDEX($A$45:$H$57,MATCH($L48,$B$45:$B$57,0),MATCH($AO$44,$A$45:$H$45,0))*고양시_Modal_split!L$5 * 0.01</f>
        <v>0.99025047166187052</v>
      </c>
      <c r="AY48" s="207">
        <f>INDEX($A$45:$H$57,MATCH($L48,$B$45:$B$57,0),MATCH($AO$44,$A$45:$H$45,0))*고양시_Modal_split!M$5 * 0.01</f>
        <v>0.26018345726017778</v>
      </c>
      <c r="AZ48" s="207">
        <f>INDEX($A$45:$H$57,MATCH($L48,$B$45:$B$57,0),MATCH($AO$44,$A$45:$H$45,0))*고양시_Modal_split!N$5 * 0.01</f>
        <v>6.6016698110791375E-2</v>
      </c>
      <c r="BA48" s="207">
        <f>INDEX($A$45:$H$57,MATCH($L48,$B$45:$B$57,0),MATCH($AO$44,$A$45:$H$45,0))*고양시_Modal_split!O$5 * 0.01</f>
        <v>0.59803361818011014</v>
      </c>
      <c r="BB48" s="214">
        <f>INDEX($A$45:$H$57,MATCH($L48,$B$45:$B$57,0),MATCH($AO$44,$A$45:$H$45,0))*고양시_Modal_split!P$5 * 0.01</f>
        <v>38.833351829877273</v>
      </c>
      <c r="BC48" s="213">
        <f>INDEX($A$45:$H$57,MATCH($L48,$B$45:$B$57,0),MATCH($BC$44,$A$45:$H$45,0))*고양시_Modal_split!C$6 * 0.01</f>
        <v>0</v>
      </c>
      <c r="BD48" s="207">
        <f>INDEX($A$45:$H$57,MATCH($L48,$B$45:$B$57,0),MATCH($BC$44,$A$45:$H$45,0))*고양시_Modal_split!D$6 * 0.01</f>
        <v>8.7207860746634544E-2</v>
      </c>
      <c r="BE48" s="207">
        <f>INDEX($A$45:$H$57,MATCH($L48,$B$45:$B$57,0),MATCH($BC$44,$A$45:$H$45,0))*고양시_Modal_split!E$6 * 0.01</f>
        <v>4.5283637388060456E-4</v>
      </c>
      <c r="BF48" s="207">
        <f>INDEX($A$45:$H$57,MATCH($L48,$B$45:$B$57,0),MATCH($BC$44,$A$45:$H$45,0))*고양시_Modal_split!F$6 * 0.01</f>
        <v>1.2847915724054362E-3</v>
      </c>
      <c r="BG48" s="207">
        <f>INDEX($A$45:$H$57,MATCH($L48,$B$45:$B$57,0),MATCH($BC$44,$A$45:$H$45,0))*고양시_Modal_split!G$6 * 0.01</f>
        <v>0</v>
      </c>
      <c r="BH48" s="207">
        <f>INDEX($A$45:$H$57,MATCH($L48,$B$45:$B$57,0),MATCH($BC$44,$A$45:$H$45,0))*고양시_Modal_split!H$6 * 0.01</f>
        <v>5.5920026635023498E-3</v>
      </c>
      <c r="BI48" s="207">
        <f>INDEX($A$45:$H$57,MATCH($L48,$B$45:$B$57,0),MATCH($BC$44,$A$45:$H$45,0))*고양시_Modal_split!I$6 * 0.01</f>
        <v>3.7280017756682327E-3</v>
      </c>
      <c r="BJ48" s="207">
        <f>INDEX($A$45:$H$57,MATCH($L48,$B$45:$B$57,0),MATCH($BC$44,$A$45:$H$45,0))*고양시_Modal_split!J$6 * 0.01</f>
        <v>5.2023527603957823E-3</v>
      </c>
      <c r="BK48" s="207">
        <f>INDEX($A$45:$H$57,MATCH($L48,$B$45:$B$57,0),MATCH($BC$44,$A$45:$H$45,0))*고양시_Modal_split!K$6 * 0.01</f>
        <v>0</v>
      </c>
      <c r="BL48" s="207">
        <f>INDEX($A$45:$H$57,MATCH($L48,$B$45:$B$57,0),MATCH($BC$44,$A$45:$H$45,0))*고양시_Modal_split!L$6 * 0.01</f>
        <v>8.0036196313781275E-4</v>
      </c>
      <c r="BM48" s="207">
        <f>INDEX($A$45:$H$57,MATCH($L48,$B$45:$B$57,0),MATCH($BC$44,$A$45:$H$45,0))*고양시_Modal_split!M$6 * 0.01</f>
        <v>9.5832814007290742E-4</v>
      </c>
      <c r="BN48" s="207">
        <f>INDEX($A$45:$H$57,MATCH($L48,$B$45:$B$57,0),MATCH($BC$44,$A$45:$H$45,0))*고양시_Modal_split!N$6 * 0.01</f>
        <v>0</v>
      </c>
      <c r="BO48" s="207">
        <f>INDEX($A$45:$H$57,MATCH($L48,$B$45:$B$57,0),MATCH($BC$44,$A$45:$H$45,0))*고양시_Modal_split!O$6 * 0.01</f>
        <v>8.4248627698717138E-5</v>
      </c>
      <c r="BP48" s="214">
        <f>INDEX($A$45:$H$57,MATCH($L48,$B$45:$B$57,0),MATCH($BC$44,$A$45:$H$45,0))*고양시_Modal_split!P$6 * 0.01</f>
        <v>0.10531078462339641</v>
      </c>
      <c r="BQ48" s="213">
        <f>INDEX($A$45:$H$57,MATCH($L48,$B$45:$B$57,0),MATCH($BQ$44,$A$45:$H$45,0))*고양시_Modal_split!C$7 * 0.01</f>
        <v>0</v>
      </c>
      <c r="BR48" s="207">
        <f>INDEX($A$45:$H$57,MATCH($L48,$B$45:$B$57,0),MATCH($BQ$44,$A$45:$H$45,0))*고양시_Modal_split!D$7 * 0.01</f>
        <v>0.1828476049821148</v>
      </c>
      <c r="BS48" s="207">
        <f>INDEX($A$45:$H$57,MATCH($L48,$B$45:$B$57,0),MATCH($BQ$44,$A$45:$H$45,0))*고양시_Modal_split!E$7 * 0.01</f>
        <v>8.921578637345353E-3</v>
      </c>
      <c r="BT48" s="207">
        <f>INDEX($A$45:$H$57,MATCH($L48,$B$45:$B$57,0),MATCH($BQ$44,$A$45:$H$45,0))*고양시_Modal_split!F$7 * 0.01</f>
        <v>2.9838055643295496E-3</v>
      </c>
      <c r="BU48" s="207">
        <f>INDEX($A$45:$H$57,MATCH($L48,$B$45:$B$57,0),MATCH($BQ$44,$A$45:$H$45,0))*고양시_Modal_split!G$7 * 0.01</f>
        <v>1.2531983370184109E-3</v>
      </c>
      <c r="BV48" s="207">
        <f>INDEX($A$45:$H$57,MATCH($L48,$B$45:$B$57,0),MATCH($BQ$44,$A$45:$H$45,0))*고양시_Modal_split!H$7 * 0.01</f>
        <v>1.6679473104602181E-2</v>
      </c>
      <c r="BW48" s="207">
        <f>INDEX($A$45:$H$57,MATCH($L48,$B$45:$B$57,0),MATCH($BQ$44,$A$45:$H$45,0))*고양시_Modal_split!I$7 * 0.01</f>
        <v>5.5707649886032704E-2</v>
      </c>
      <c r="BX48" s="207">
        <f>INDEX($A$45:$H$57,MATCH($L48,$B$45:$B$57,0),MATCH($BQ$44,$A$45:$H$45,0))*고양시_Modal_split!J$7 * 0.01</f>
        <v>5.9676111286590995E-5</v>
      </c>
      <c r="BY48" s="207">
        <f>INDEX($A$45:$H$57,MATCH($L48,$B$45:$B$57,0),MATCH($BQ$44,$A$45:$H$45,0))*고양시_Modal_split!K$7 * 0.01</f>
        <v>2.2975302845337536E-2</v>
      </c>
      <c r="BZ48" s="207">
        <f>INDEX($A$45:$H$57,MATCH($L48,$B$45:$B$57,0),MATCH($BQ$44,$A$45:$H$45,0))*고양시_Modal_split!L$7 * 0.01</f>
        <v>2.0886638950306846E-4</v>
      </c>
      <c r="CA48" s="207">
        <f>INDEX($A$45:$H$57,MATCH($L48,$B$45:$B$57,0),MATCH($BQ$44,$A$45:$H$45,0))*고양시_Modal_split!M$7 * 0.01</f>
        <v>5.5797164052962577E-3</v>
      </c>
      <c r="CB48" s="207">
        <f>INDEX($A$45:$H$57,MATCH($L48,$B$45:$B$57,0),MATCH($BQ$44,$A$45:$H$45,0))*고양시_Modal_split!N$7 * 0.01</f>
        <v>1.1636841700885243E-3</v>
      </c>
      <c r="CC48" s="207">
        <f>INDEX($A$45:$H$57,MATCH($L48,$B$45:$B$57,0),MATCH($BQ$44,$A$45:$H$45,0))*고양시_Modal_split!O$7 * 0.01</f>
        <v>0</v>
      </c>
      <c r="CD48" s="214">
        <f>INDEX($A$45:$H$57,MATCH($L48,$B$45:$B$57,0),MATCH($BQ$44,$A$45:$H$45,0))*고양시_Modal_split!P$7 * 0.01</f>
        <v>0.29838055643295497</v>
      </c>
      <c r="CE48" s="218">
        <f t="shared" si="22"/>
        <v>267.02298376458748</v>
      </c>
      <c r="CF48" s="208">
        <f t="shared" si="5"/>
        <v>362.67809810908403</v>
      </c>
      <c r="CG48" s="208">
        <f t="shared" si="6"/>
        <v>78.317909570680982</v>
      </c>
      <c r="CH48" s="208">
        <f t="shared" si="7"/>
        <v>19.474079068457108</v>
      </c>
      <c r="CI48" s="208">
        <f t="shared" si="8"/>
        <v>103.88126005173345</v>
      </c>
      <c r="CJ48" s="208">
        <f t="shared" si="9"/>
        <v>6.0721320823978256E-2</v>
      </c>
      <c r="CK48" s="208">
        <f t="shared" si="10"/>
        <v>34.755415480753634</v>
      </c>
      <c r="CL48" s="208">
        <f t="shared" si="11"/>
        <v>77.999549803225136</v>
      </c>
      <c r="CM48" s="208">
        <f t="shared" si="12"/>
        <v>0.19973945483570749</v>
      </c>
      <c r="CN48" s="208">
        <f t="shared" si="13"/>
        <v>44.869468501523841</v>
      </c>
      <c r="CO48" s="208">
        <f t="shared" si="14"/>
        <v>6.3957073664620676</v>
      </c>
      <c r="CP48" s="208">
        <f t="shared" si="15"/>
        <v>22.082294597017224</v>
      </c>
      <c r="CQ48" s="208">
        <f t="shared" si="16"/>
        <v>10.262772910815359</v>
      </c>
      <c r="CR48" s="219">
        <f t="shared" si="17"/>
        <v>1028</v>
      </c>
      <c r="CS48" s="225">
        <f t="shared" si="23"/>
        <v>0</v>
      </c>
      <c r="CV48" s="265"/>
      <c r="CW48" s="266" t="s">
        <v>14</v>
      </c>
      <c r="CX48" s="267">
        <f>INDEX($M$44:$Z$57,MATCH($CW48,$L$44:$L$57,0),MATCH(CX$45,$M$45:$Z$45,0))/INDEX(고양시_재차인원!$D$4:$H$35,MATCH("고양시",고양시_재차인원!$B$4:$B$35,0),MATCH('A.일산테크노밸리(859991)_수정'!$CX$44,고양시_재차인원!$D$4:$H$4,0))</f>
        <v>47.309235480924251</v>
      </c>
      <c r="CY48" s="267">
        <f>INDEX($M$44:$Z$57,MATCH($CW48,$L$44:$L$57,0),MATCH(CY$45,$M$45:$Z$45,0))/INDEX(고양시_재차인원!$K$4:$O$20,MATCH("경기도",고양시_재차인원!$K$4:$K$20,0),MATCH('A.일산테크노밸리(859991)_수정'!CY$45,고양시_재차인원!$K$4:$O$4,0))</f>
        <v>3.9133375390620477E-4</v>
      </c>
      <c r="CZ48" s="267">
        <f>INDEX($M$44:$Z$57,MATCH($CW48,$L$44:$L$57,0),MATCH(CZ$45,$M$45:$Z$45,0))/INDEX(고양시_재차인원!$K$4:$O$20,MATCH("경기도",고양시_재차인원!$K$4:$K$20,0),MATCH('A.일산테크노밸리(859991)_수정'!CZ$45,고양시_재차인원!$K$4:$O$4,0))</f>
        <v>0.10879078358592491</v>
      </c>
      <c r="DA48" s="267">
        <f>INDEX($M$44:$Z$57,MATCH($CW48,$L$44:$L$57,0),MATCH(DA$45,$M$45:$Z$45,0))/INDEX(고양시_재차인원!$K$4:$O$20,MATCH("경기도",고양시_재차인원!$K$4:$K$20,0),MATCH('A.일산테크노밸리(859991)_수정'!DA$45,고양시_재차인원!$K$4:$O$4,0))</f>
        <v>2.2683217533585398</v>
      </c>
      <c r="DB48" s="268">
        <f>INDEX($AA$44:$AN$57,MATCH($CW48,$L$44:$L$57,0),MATCH(DB$45,$AA$45:$AN$45,0))/INDEX(고양시_재차인원!$D$4:$H$35,MATCH("고양시",고양시_재차인원!$B$4:$B$35,0),MATCH('A.일산테크노밸리(859991)_수정'!$DB$44,고양시_재차인원!$D$4:$H$4,0))</f>
        <v>199.26568700977737</v>
      </c>
      <c r="DC48" s="267">
        <f>INDEX($AA$44:$AN$57,MATCH($CW48,$L$44:$L$57,0),MATCH(DC$45,$AA$45:$AN$45,0))/INDEX(고양시_재차인원!$K$4:$O$20,MATCH("경기도",고양시_재차인원!$K$4:$K$20,0),MATCH('A.일산테크노밸리(859991)_수정'!DC$45,고양시_재차인원!$K$4:$O$4,0))</f>
        <v>0</v>
      </c>
      <c r="DD48" s="267">
        <f>INDEX($AA$44:$AN$57,MATCH($CW48,$L$44:$L$57,0),MATCH(DD$45,$AA$45:$AN$45,0))/INDEX(고양시_재차인원!$K$4:$O$20,MATCH("경기도",고양시_재차인원!$K$4:$K$20,0),MATCH('A.일산테크노밸리(859991)_수정'!DD$45,고양시_재차인원!$K$4:$O$4,0))</f>
        <v>1.0589860828053335</v>
      </c>
      <c r="DE48" s="267">
        <f>INDEX($AA$44:$AN$57,MATCH($CW48,$L$44:$L$57,0),MATCH(DE$45,$AA$45:$AN$45,0))/INDEX(고양시_재차인원!$K$4:$O$20,MATCH("경기도",고양시_재차인원!$K$4:$K$20,0),MATCH('A.일산테크노밸리(859991)_수정'!DE$45,고양시_재차인원!$K$4:$O$4,0))</f>
        <v>26.983817447647677</v>
      </c>
      <c r="DF48" s="268">
        <f>INDEX($AO$44:$BB$57,MATCH($CW48,$L$44:$L$57,0),MATCH(DF$45,$AO$45:$BB$45,0))/INDEX(고양시_재차인원!$D$4:$H$35,MATCH("고양시",고양시_재차인원!$B$4:$B$35,0),MATCH('A.일산테크노밸리(859991)_수정'!$DF$44,고양시_재차인원!$D$4:$H$4,0))</f>
        <v>21.890061708410826</v>
      </c>
      <c r="DG48" s="267">
        <f>INDEX($AO$44:$BB$57,MATCH($CW48,$L$44:$L$57,0),MATCH(DG$45,$AO$45:$BB$45,0))/INDEX(고양시_재차인원!$K$4:$O$20,MATCH("경기도",고양시_재차인원!$K$4:$K$20,0),MATCH('A.일산테크노밸리(859991)_수정'!DG$45,고양시_재차인원!$K$4:$O$4,0))</f>
        <v>9.4419403546071876E-4</v>
      </c>
      <c r="DH48" s="267">
        <f>INDEX($AO$44:$BB$57,MATCH($CW48,$L$44:$L$57,0),MATCH(DH$45,$AO$45:$BB$45,0))/INDEX(고양시_재차인원!$K$4:$O$20,MATCH("경기도",고양시_재차인원!$K$4:$K$20,0),MATCH('A.일산테크노밸리(859991)_수정'!DH$45,고양시_재차인원!$K$4:$O$4,0))</f>
        <v>3.7363106831802738E-2</v>
      </c>
      <c r="DI48" s="267">
        <f>INDEX($AO$44:$BB$57,MATCH($CW48,$L$44:$L$57,0),MATCH(DI$45,$AO$45:$BB$45,0))/INDEX(고양시_재차인원!$K$4:$O$20,MATCH("경기도",고양시_재차인원!$K$4:$K$20,0),MATCH('A.일산테크노밸리(859991)_수정'!DI$45,고양시_재차인원!$K$4:$O$4,0))</f>
        <v>0.66016698110791372</v>
      </c>
      <c r="DJ48" s="268">
        <f>INDEX($BC$44:$BP$57,MATCH($CW48,$L$44:$L$57,0),MATCH(DJ$45,$BC$45:$BP$45,0))/INDEX(고양시_재차인원!$D$4:$H$35,MATCH("고양시",고양시_재차인원!$B$4:$B$35,0),MATCH('A.일산테크노밸리(859991)_수정'!$DJ$44,고양시_재차인원!$D$4:$H$4,0))</f>
        <v>6.412342701958422E-2</v>
      </c>
      <c r="DK48" s="267">
        <f>INDEX($BC$44:$BP$57,MATCH($CW48,$L$44:$L$57,0),MATCH(DK$45,$BC$45:$BP$45,0))/INDEX(고양시_재차인원!$K$4:$O$20,MATCH("경기도",고양시_재차인원!$K$4:$K$20,0),MATCH('A.일산테크노밸리(859991)_수정'!DK$45,고양시_재차인원!$K$4:$O$4,0))</f>
        <v>1.942342015804915E-4</v>
      </c>
      <c r="DL48" s="267">
        <f>INDEX($BC$44:$BP$57,MATCH($CW48,$L$44:$L$57,0),MATCH(DL$45,$BC$45:$BP$45,0))/INDEX(고양시_재차인원!$K$4:$O$20,MATCH("경기도",고양시_재차인원!$K$4:$K$20,0),MATCH('A.일산테크노밸리(859991)_수정'!DL$45,고양시_재차인원!$K$4:$O$4,0))</f>
        <v>1.2948946772032763E-4</v>
      </c>
      <c r="DM48" s="267">
        <f>INDEX($BC$44:$BP$57,MATCH($CW48,$L$44:$L$57,0),MATCH(DM$45,$BC$45:$BP$45,0))/INDEX(고양시_재차인원!$K$4:$O$20,MATCH("경기도",고양시_재차인원!$K$4:$K$20,0),MATCH('A.일산테크노밸리(859991)_수정'!DM$45,고양시_재차인원!$K$4:$O$4,0))</f>
        <v>5.335746420918752E-4</v>
      </c>
      <c r="DN48" s="268">
        <f>INDEX($BQ$44:$CD$57,MATCH($CW48,$L$44:$L$57,0),MATCH(DN$45,$BQ$45:$CD$45,0))/INDEX(고양시_재차인원!$D$4:$H$35,MATCH("고양시",고양시_재차인원!$B$4:$B$35,0),MATCH('A.일산테크노밸리(859991)_수정'!$DN$44,고양시_재차인원!$D$4:$H$4,0))</f>
        <v>0.14511714681120222</v>
      </c>
      <c r="DO48" s="267">
        <f>INDEX($BQ$44:$CD$57,MATCH($CW48,$L$44:$L$57,0),MATCH(DO$45,$BQ$45:$CD$45,0))/INDEX(고양시_재차인원!$K$4:$O$20,MATCH("경기도",고양시_재차인원!$K$4:$K$20,0),MATCH('A.일산테크노밸리(859991)_수정'!DO$45,고양시_재차인원!$K$4:$O$4,0))</f>
        <v>5.7934953472046479E-4</v>
      </c>
      <c r="DP48" s="267">
        <f>INDEX($BQ$44:$CD$57,MATCH($CW48,$L$44:$L$57,0),MATCH(DP$45,$BQ$45:$CD$45,0))/INDEX(고양시_재차인원!$K$4:$O$20,MATCH("경기도",고양시_재차인원!$K$4:$K$20,0),MATCH('A.일산테크노밸리(859991)_수정'!DP$45,고양시_재차인원!$K$4:$O$4,0))</f>
        <v>1.9349652617586908E-3</v>
      </c>
      <c r="DQ48" s="267">
        <f>INDEX($BQ$44:$CD$57,MATCH($CW48,$L$44:$L$57,0),MATCH(DQ$45,$BQ$45:$CD$45,0))/INDEX(고양시_재차인원!$K$4:$O$20,MATCH("경기도",고양시_재차인원!$K$4:$K$20,0),MATCH('A.일산테크노밸리(859991)_수정'!DQ$45,고양시_재차인원!$K$4:$O$4,0))</f>
        <v>1.392442596687123E-4</v>
      </c>
      <c r="DR48" s="269">
        <f t="shared" si="24"/>
        <v>268.67422477294321</v>
      </c>
      <c r="DS48" s="270">
        <f t="shared" si="18"/>
        <v>2.1091115256678798E-3</v>
      </c>
      <c r="DT48" s="270">
        <f t="shared" si="19"/>
        <v>1.2072044279525402</v>
      </c>
      <c r="DU48" s="270">
        <f t="shared" si="20"/>
        <v>29.912979001015888</v>
      </c>
      <c r="DW48" s="278"/>
      <c r="DX48" s="278" t="s">
        <v>592</v>
      </c>
      <c r="DY48" s="281">
        <f t="shared" si="25"/>
        <v>298.58720377395912</v>
      </c>
      <c r="DZ48" s="281">
        <f t="shared" si="26"/>
        <v>1.2093135394782082</v>
      </c>
      <c r="EC48" s="412" t="s">
        <v>13</v>
      </c>
      <c r="ED48" s="412" t="s">
        <v>76</v>
      </c>
      <c r="EE48" s="412">
        <v>3134.9627</v>
      </c>
      <c r="EF48" s="412">
        <v>0.77555789932683494</v>
      </c>
      <c r="EG48" s="413">
        <v>859003</v>
      </c>
      <c r="EH48" s="414">
        <f t="shared" si="27"/>
        <v>27.180453806480905</v>
      </c>
      <c r="EI48" s="415">
        <f t="shared" si="28"/>
        <v>0.1100840571259807</v>
      </c>
      <c r="EJ48" s="402">
        <v>0</v>
      </c>
      <c r="EM48" s="278" t="s">
        <v>13</v>
      </c>
      <c r="EN48" s="278" t="s">
        <v>76</v>
      </c>
      <c r="EO48" s="278">
        <v>3134.9627</v>
      </c>
      <c r="EP48" s="278">
        <v>0.77555789932683494</v>
      </c>
      <c r="EQ48" s="289">
        <v>859003</v>
      </c>
      <c r="ER48" s="290">
        <f t="shared" si="29"/>
        <v>27.180453806480905</v>
      </c>
      <c r="ES48" s="291">
        <f t="shared" si="21"/>
        <v>0.1100840571259807</v>
      </c>
      <c r="ET48" s="402">
        <v>0</v>
      </c>
      <c r="EV48" s="34"/>
      <c r="EW48" s="34"/>
      <c r="EX48" s="34"/>
      <c r="EY48" s="34"/>
      <c r="EZ48" s="378"/>
      <c r="FA48" s="401"/>
      <c r="FB48" s="402"/>
      <c r="FC48" s="402"/>
    </row>
    <row r="49" spans="1:159" ht="27" customHeight="1">
      <c r="A49" s="205"/>
      <c r="B49" s="205" t="s">
        <v>15</v>
      </c>
      <c r="C49" s="400">
        <f>'A.일산테크노밸리(859991)_수정'!$P31*KTDB_TripDistribution_2025!L$12</f>
        <v>3179.0596300121992</v>
      </c>
      <c r="D49" s="400">
        <f>'A.일산테크노밸리(859991)_수정'!$P31*KTDB_TripDistribution_2025!M$12</f>
        <v>24720.791623626639</v>
      </c>
      <c r="E49" s="400">
        <f>'A.일산테크노밸리(859991)_수정'!$P31*KTDB_TripDistribution_2025!N$12</f>
        <v>1095.7578176354575</v>
      </c>
      <c r="F49" s="400">
        <f>'A.일산테크노밸리(859991)_수정'!$P31*KTDB_TripDistribution_2025!O$12</f>
        <v>2.9715466240961668</v>
      </c>
      <c r="G49" s="400">
        <f>'A.일산테크노밸리(859991)_수정'!$P31*KTDB_TripDistribution_2025!P$12</f>
        <v>8.4193821016057644</v>
      </c>
      <c r="H49" s="400">
        <f>'A.일산테크노밸리(859991)_수정'!$P31*KTDB_TripDistribution_2025!Q$12</f>
        <v>29007</v>
      </c>
      <c r="J49" s="230">
        <f t="shared" si="4"/>
        <v>29006.999999999996</v>
      </c>
      <c r="K49" s="206"/>
      <c r="L49" s="209" t="s">
        <v>15</v>
      </c>
      <c r="M49" s="213">
        <f>INDEX($A$45:$H$57,MATCH($L49,$B$45:$B$57,0),MATCH($M$44,$A$45:$H$45,0))*고양시_Modal_split!C$3 * 0.01</f>
        <v>8.9013669640341568</v>
      </c>
      <c r="N49" s="207">
        <f>INDEX($A$45:$H$57,MATCH($L49,$B$45:$B$57,0),MATCH($M$44,$A$45:$H$45,0))*고양시_Modal_split!D$3 * 0.01</f>
        <v>1495.1117439947373</v>
      </c>
      <c r="O49" s="207">
        <f>INDEX($A$45:$H$57,MATCH($L49,$B$45:$B$57,0),MATCH($M$44,$A$45:$H$45,0))*고양시_Modal_split!E$3 * 0.01</f>
        <v>180.88849294769412</v>
      </c>
      <c r="P49" s="207">
        <f>INDEX($A$45:$H$57,MATCH($L49,$B$45:$B$57,0),MATCH($M$44,$A$45:$H$45,0))*고양시_Modal_split!F$3 * 0.01</f>
        <v>291.51976807211867</v>
      </c>
      <c r="Q49" s="207">
        <f>INDEX($A$45:$H$57,MATCH($L49,$B$45:$B$57,0),MATCH($M$44,$A$45:$H$45,0))*고양시_Modal_split!G$3 * 0.01</f>
        <v>29.247348596112229</v>
      </c>
      <c r="R49" s="207">
        <f>INDEX($A$45:$H$57,MATCH($L49,$B$45:$B$57,0),MATCH($M$44,$A$45:$H$45,0))*고양시_Modal_split!H$3 * 0.01</f>
        <v>0.31790596300121993</v>
      </c>
      <c r="S49" s="207">
        <f>INDEX($A$45:$H$57,MATCH($L49,$B$45:$B$57,0),MATCH($M$44,$A$45:$H$45,0))*고양시_Modal_split!I$3 * 0.01</f>
        <v>88.377857714339129</v>
      </c>
      <c r="T49" s="207">
        <f>INDEX($A$45:$H$57,MATCH($L49,$B$45:$B$57,0),MATCH($M$44,$A$45:$H$45,0))*고양시_Modal_split!J$3 * 0.01</f>
        <v>967.70575137571348</v>
      </c>
      <c r="U49" s="207">
        <f>INDEX($A$45:$H$57,MATCH($L49,$B$45:$B$57,0),MATCH($M$44,$A$45:$H$45,0))*고양시_Modal_split!K$3 * 0.01</f>
        <v>4.7685894450182991</v>
      </c>
      <c r="V49" s="207">
        <f>INDEX($A$45:$H$57,MATCH($L49,$B$45:$B$57,0),MATCH($M$44,$A$45:$H$45,0))*고양시_Modal_split!L$3 * 0.01</f>
        <v>96.007600826368417</v>
      </c>
      <c r="W49" s="207">
        <f>INDEX($A$45:$H$57,MATCH($L49,$B$45:$B$57,0),MATCH($M$44,$A$45:$H$45,0))*고양시_Modal_split!M$3 * 0.01</f>
        <v>7.3118371490280571</v>
      </c>
      <c r="X49" s="207">
        <f>INDEX($A$45:$H$57,MATCH($L49,$B$45:$B$57,0),MATCH($M$44,$A$45:$H$45,0))*고양시_Modal_split!N$3 * 0.01</f>
        <v>3.1790596300121998</v>
      </c>
      <c r="Y49" s="207">
        <f>INDEX($A$45:$H$57,MATCH($L49,$B$45:$B$57,0),MATCH($M$44,$A$45:$H$45,0))*고양시_Modal_split!O$3 * 0.01</f>
        <v>5.7223073340219583</v>
      </c>
      <c r="Z49" s="214">
        <f>INDEX($A$45:$H$57,MATCH($L49,$B$45:$B$57,0),MATCH($M$44,$A$45:$H$45,0))*고양시_Modal_split!P$3 * 0.01</f>
        <v>3179.0596300121992</v>
      </c>
      <c r="AA49" s="213">
        <f>INDEX($A$45:$H$57,MATCH($L49,$B$45:$B$57,0),MATCH($AA$44,$A$45:$H$45,0))*고양시_Modal_split!C$4 * 0.01</f>
        <v>7525.0089702319492</v>
      </c>
      <c r="AB49" s="207">
        <f>INDEX($A$45:$H$57,MATCH($L49,$B$45:$B$57,0),MATCH($AA$44,$A$45:$H$45,0))*고양시_Modal_split!D$4 * 0.01</f>
        <v>7927.9578736970634</v>
      </c>
      <c r="AC49" s="207">
        <f>INDEX($A$45:$H$57,MATCH($L49,$B$45:$B$57,0),MATCH($AA$44,$A$45:$H$45,0))*고양시_Modal_split!E$4 * 0.01</f>
        <v>1920.8055091557899</v>
      </c>
      <c r="AD49" s="207">
        <f>INDEX($A$45:$H$57,MATCH($L49,$B$45:$B$57,0),MATCH($AA$44,$A$45:$H$45,0))*고양시_Modal_split!F$4 * 0.01</f>
        <v>234.84752042445308</v>
      </c>
      <c r="AE49" s="207">
        <f>INDEX($A$45:$H$57,MATCH($L49,$B$45:$B$57,0),MATCH($AA$44,$A$45:$H$45,0))*고양시_Modal_split!G$4 * 0.01</f>
        <v>2894.8046991266792</v>
      </c>
      <c r="AF49" s="207">
        <f>INDEX($A$45:$H$57,MATCH($L49,$B$45:$B$57,0),MATCH($AA$44,$A$45:$H$45,0))*고양시_Modal_split!H$4 * 0.01</f>
        <v>0</v>
      </c>
      <c r="AG49" s="207">
        <f>INDEX($A$45:$H$57,MATCH($L49,$B$45:$B$57,0),MATCH($AA$44,$A$45:$H$45,0))*고양시_Modal_split!I$4 * 0.01</f>
        <v>860.28354850220694</v>
      </c>
      <c r="AH49" s="207">
        <f>INDEX($A$45:$H$57,MATCH($L49,$B$45:$B$57,0),MATCH($AA$44,$A$45:$H$45,0))*고양시_Modal_split!J$4 * 0.01</f>
        <v>1164.3492854728147</v>
      </c>
      <c r="AI49" s="207">
        <f>INDEX($A$45:$H$57,MATCH($L49,$B$45:$B$57,0),MATCH($AA$44,$A$45:$H$45,0))*고양시_Modal_split!K$4 * 0.01</f>
        <v>0</v>
      </c>
      <c r="AJ49" s="207">
        <f>INDEX($A$45:$H$57,MATCH($L49,$B$45:$B$57,0),MATCH($AA$44,$A$45:$H$45,0))*고양시_Modal_split!L$4 * 0.01</f>
        <v>1142.1005730115508</v>
      </c>
      <c r="AK49" s="207">
        <f>INDEX($A$45:$H$57,MATCH($L49,$B$45:$B$57,0),MATCH($AA$44,$A$45:$H$45,0))*고양시_Modal_split!M$4 * 0.01</f>
        <v>165.62930387829849</v>
      </c>
      <c r="AL49" s="207">
        <f>INDEX($A$45:$H$57,MATCH($L49,$B$45:$B$57,0),MATCH($AA$44,$A$45:$H$45,0))*고양시_Modal_split!N$4 * 0.01</f>
        <v>618.01979059066593</v>
      </c>
      <c r="AM49" s="207">
        <f>INDEX($A$45:$H$57,MATCH($L49,$B$45:$B$57,0),MATCH($AA$44,$A$45:$H$45,0))*고양시_Modal_split!O$4 * 0.01</f>
        <v>266.98454953516773</v>
      </c>
      <c r="AN49" s="214">
        <f>INDEX($A$45:$H$57,MATCH($L49,$B$45:$B$57,0),MATCH($AA$44,$A$45:$H$45,0))*고양시_Modal_split!P$4 * 0.01</f>
        <v>24720.791623626639</v>
      </c>
      <c r="AO49" s="213">
        <f>INDEX($A$45:$H$57,MATCH($L49,$B$45:$B$57,0),MATCH($AO$44,$A$45:$H$45,0))*고양시_Modal_split!C$5 * 0.01</f>
        <v>0.65745469058127459</v>
      </c>
      <c r="AP49" s="207">
        <f>INDEX($A$45:$H$57,MATCH($L49,$B$45:$B$57,0),MATCH($AO$44,$A$45:$H$45,0))*고양시_Modal_split!D$5 * 0.01</f>
        <v>802.97132876326327</v>
      </c>
      <c r="AQ49" s="207">
        <f>INDEX($A$45:$H$57,MATCH($L49,$B$45:$B$57,0),MATCH($AO$44,$A$45:$H$45,0))*고양시_Modal_split!E$5 * 0.01</f>
        <v>107.93214503709257</v>
      </c>
      <c r="AR49" s="207">
        <f>INDEX($A$45:$H$57,MATCH($L49,$B$45:$B$57,0),MATCH($AO$44,$A$45:$H$45,0))*고양시_Modal_split!F$5 * 0.01</f>
        <v>23.010914170344609</v>
      </c>
      <c r="AS49" s="207">
        <f>INDEX($A$45:$H$57,MATCH($L49,$B$45:$B$57,0),MATCH($AO$44,$A$45:$H$45,0))*고양시_Modal_split!G$5 * 0.01</f>
        <v>7.122425814630474</v>
      </c>
      <c r="AT49" s="207">
        <f>INDEX($A$45:$H$57,MATCH($L49,$B$45:$B$57,0),MATCH($AO$44,$A$45:$H$45,0))*고양시_Modal_split!H$5 * 0.01</f>
        <v>0.76703047234482014</v>
      </c>
      <c r="AU49" s="207">
        <f>INDEX($A$45:$H$57,MATCH($L49,$B$45:$B$57,0),MATCH($AO$44,$A$45:$H$45,0))*고양시_Modal_split!I$5 * 0.01</f>
        <v>30.352491548502172</v>
      </c>
      <c r="AV49" s="207">
        <f>INDEX($A$45:$H$57,MATCH($L49,$B$45:$B$57,0),MATCH($AO$44,$A$45:$H$45,0))*고양시_Modal_split!J$5 * 0.01</f>
        <v>68.704015165743201</v>
      </c>
      <c r="AW49" s="207">
        <f>INDEX($A$45:$H$57,MATCH($L49,$B$45:$B$57,0),MATCH($AO$44,$A$45:$H$45,0))*고양시_Modal_split!K$5 * 0.01</f>
        <v>0.2191515635270915</v>
      </c>
      <c r="AX49" s="207">
        <f>INDEX($A$45:$H$57,MATCH($L49,$B$45:$B$57,0),MATCH($AO$44,$A$45:$H$45,0))*고양시_Modal_split!L$5 * 0.01</f>
        <v>27.941824349704167</v>
      </c>
      <c r="AY49" s="207">
        <f>INDEX($A$45:$H$57,MATCH($L49,$B$45:$B$57,0),MATCH($AO$44,$A$45:$H$45,0))*고양시_Modal_split!M$5 * 0.01</f>
        <v>7.3415773781575666</v>
      </c>
      <c r="AZ49" s="207">
        <f>INDEX($A$45:$H$57,MATCH($L49,$B$45:$B$57,0),MATCH($AO$44,$A$45:$H$45,0))*고양시_Modal_split!N$5 * 0.01</f>
        <v>1.8627882899802777</v>
      </c>
      <c r="BA49" s="207">
        <f>INDEX($A$45:$H$57,MATCH($L49,$B$45:$B$57,0),MATCH($AO$44,$A$45:$H$45,0))*고양시_Modal_split!O$5 * 0.01</f>
        <v>16.874670391586047</v>
      </c>
      <c r="BB49" s="214">
        <f>INDEX($A$45:$H$57,MATCH($L49,$B$45:$B$57,0),MATCH($AO$44,$A$45:$H$45,0))*고양시_Modal_split!P$5 * 0.01</f>
        <v>1095.7578176354573</v>
      </c>
      <c r="BC49" s="213">
        <f>INDEX($A$45:$H$57,MATCH($L49,$B$45:$B$57,0),MATCH($BC$44,$A$45:$H$45,0))*고양시_Modal_split!C$6 * 0.01</f>
        <v>0</v>
      </c>
      <c r="BD49" s="207">
        <f>INDEX($A$45:$H$57,MATCH($L49,$B$45:$B$57,0),MATCH($BC$44,$A$45:$H$45,0))*고양시_Modal_split!D$6 * 0.01</f>
        <v>2.4607377594140356</v>
      </c>
      <c r="BE49" s="207">
        <f>INDEX($A$45:$H$57,MATCH($L49,$B$45:$B$57,0),MATCH($BC$44,$A$45:$H$45,0))*고양시_Modal_split!E$6 * 0.01</f>
        <v>1.2777650483613517E-2</v>
      </c>
      <c r="BF49" s="207">
        <f>INDEX($A$45:$H$57,MATCH($L49,$B$45:$B$57,0),MATCH($BC$44,$A$45:$H$45,0))*고양시_Modal_split!F$6 * 0.01</f>
        <v>3.6252868813973237E-2</v>
      </c>
      <c r="BG49" s="207">
        <f>INDEX($A$45:$H$57,MATCH($L49,$B$45:$B$57,0),MATCH($BC$44,$A$45:$H$45,0))*고양시_Modal_split!G$6 * 0.01</f>
        <v>0</v>
      </c>
      <c r="BH49" s="207">
        <f>INDEX($A$45:$H$57,MATCH($L49,$B$45:$B$57,0),MATCH($BC$44,$A$45:$H$45,0))*고양시_Modal_split!H$6 * 0.01</f>
        <v>0.15778912573950649</v>
      </c>
      <c r="BI49" s="207">
        <f>INDEX($A$45:$H$57,MATCH($L49,$B$45:$B$57,0),MATCH($BC$44,$A$45:$H$45,0))*고양시_Modal_split!I$6 * 0.01</f>
        <v>0.10519275049300431</v>
      </c>
      <c r="BJ49" s="207">
        <f>INDEX($A$45:$H$57,MATCH($L49,$B$45:$B$57,0),MATCH($BC$44,$A$45:$H$45,0))*고양시_Modal_split!J$6 * 0.01</f>
        <v>0.14679440323035065</v>
      </c>
      <c r="BK49" s="207">
        <f>INDEX($A$45:$H$57,MATCH($L49,$B$45:$B$57,0),MATCH($BC$44,$A$45:$H$45,0))*고양시_Modal_split!K$6 * 0.01</f>
        <v>0</v>
      </c>
      <c r="BL49" s="207">
        <f>INDEX($A$45:$H$57,MATCH($L49,$B$45:$B$57,0),MATCH($BC$44,$A$45:$H$45,0))*고양시_Modal_split!L$6 * 0.01</f>
        <v>2.2583754343130868E-2</v>
      </c>
      <c r="BM49" s="207">
        <f>INDEX($A$45:$H$57,MATCH($L49,$B$45:$B$57,0),MATCH($BC$44,$A$45:$H$45,0))*고양시_Modal_split!M$6 * 0.01</f>
        <v>2.7041074279275119E-2</v>
      </c>
      <c r="BN49" s="207">
        <f>INDEX($A$45:$H$57,MATCH($L49,$B$45:$B$57,0),MATCH($BC$44,$A$45:$H$45,0))*고양시_Modal_split!N$6 * 0.01</f>
        <v>0</v>
      </c>
      <c r="BO49" s="207">
        <f>INDEX($A$45:$H$57,MATCH($L49,$B$45:$B$57,0),MATCH($BC$44,$A$45:$H$45,0))*고양시_Modal_split!O$6 * 0.01</f>
        <v>2.3772372992769335E-3</v>
      </c>
      <c r="BP49" s="214">
        <f>INDEX($A$45:$H$57,MATCH($L49,$B$45:$B$57,0),MATCH($BC$44,$A$45:$H$45,0))*고양시_Modal_split!P$6 * 0.01</f>
        <v>2.9715466240961668</v>
      </c>
      <c r="BQ49" s="213">
        <f>INDEX($A$45:$H$57,MATCH($L49,$B$45:$B$57,0),MATCH($BQ$44,$A$45:$H$45,0))*고양시_Modal_split!C$7 * 0.01</f>
        <v>0</v>
      </c>
      <c r="BR49" s="207">
        <f>INDEX($A$45:$H$57,MATCH($L49,$B$45:$B$57,0),MATCH($BQ$44,$A$45:$H$45,0))*고양시_Modal_split!D$7 * 0.01</f>
        <v>5.1593973518640119</v>
      </c>
      <c r="BS49" s="207">
        <f>INDEX($A$45:$H$57,MATCH($L49,$B$45:$B$57,0),MATCH($BQ$44,$A$45:$H$45,0))*고양시_Modal_split!E$7 * 0.01</f>
        <v>0.25173952483801232</v>
      </c>
      <c r="BT49" s="207">
        <f>INDEX($A$45:$H$57,MATCH($L49,$B$45:$B$57,0),MATCH($BQ$44,$A$45:$H$45,0))*고양시_Modal_split!F$7 * 0.01</f>
        <v>8.4193821016057643E-2</v>
      </c>
      <c r="BU49" s="207">
        <f>INDEX($A$45:$H$57,MATCH($L49,$B$45:$B$57,0),MATCH($BQ$44,$A$45:$H$45,0))*고양시_Modal_split!G$7 * 0.01</f>
        <v>3.5361404826744207E-2</v>
      </c>
      <c r="BV49" s="207">
        <f>INDEX($A$45:$H$57,MATCH($L49,$B$45:$B$57,0),MATCH($BQ$44,$A$45:$H$45,0))*고양시_Modal_split!H$7 * 0.01</f>
        <v>0.47064345947976222</v>
      </c>
      <c r="BW49" s="207">
        <f>INDEX($A$45:$H$57,MATCH($L49,$B$45:$B$57,0),MATCH($BQ$44,$A$45:$H$45,0))*고양시_Modal_split!I$7 * 0.01</f>
        <v>1.5718986383697964</v>
      </c>
      <c r="BX49" s="207">
        <f>INDEX($A$45:$H$57,MATCH($L49,$B$45:$B$57,0),MATCH($BQ$44,$A$45:$H$45,0))*고양시_Modal_split!J$7 * 0.01</f>
        <v>1.6838764203211528E-3</v>
      </c>
      <c r="BY49" s="207">
        <f>INDEX($A$45:$H$57,MATCH($L49,$B$45:$B$57,0),MATCH($BQ$44,$A$45:$H$45,0))*고양시_Modal_split!K$7 * 0.01</f>
        <v>0.64829242182364388</v>
      </c>
      <c r="BZ49" s="207">
        <f>INDEX($A$45:$H$57,MATCH($L49,$B$45:$B$57,0),MATCH($BQ$44,$A$45:$H$45,0))*고양시_Modal_split!L$7 * 0.01</f>
        <v>5.8935674711240353E-3</v>
      </c>
      <c r="CA49" s="207">
        <f>INDEX($A$45:$H$57,MATCH($L49,$B$45:$B$57,0),MATCH($BQ$44,$A$45:$H$45,0))*고양시_Modal_split!M$7 * 0.01</f>
        <v>0.15744244530002779</v>
      </c>
      <c r="CB49" s="207">
        <f>INDEX($A$45:$H$57,MATCH($L49,$B$45:$B$57,0),MATCH($BQ$44,$A$45:$H$45,0))*고양시_Modal_split!N$7 * 0.01</f>
        <v>3.2835590196262476E-2</v>
      </c>
      <c r="CC49" s="207">
        <f>INDEX($A$45:$H$57,MATCH($L49,$B$45:$B$57,0),MATCH($BQ$44,$A$45:$H$45,0))*고양시_Modal_split!O$7 * 0.01</f>
        <v>0</v>
      </c>
      <c r="CD49" s="214">
        <f>INDEX($A$45:$H$57,MATCH($L49,$B$45:$B$57,0),MATCH($BQ$44,$A$45:$H$45,0))*고양시_Modal_split!P$7 * 0.01</f>
        <v>8.4193821016057644</v>
      </c>
      <c r="CE49" s="218">
        <f t="shared" si="22"/>
        <v>7534.5677918865649</v>
      </c>
      <c r="CF49" s="208">
        <f t="shared" si="5"/>
        <v>10233.661081566344</v>
      </c>
      <c r="CG49" s="208">
        <f t="shared" si="6"/>
        <v>2209.890664315898</v>
      </c>
      <c r="CH49" s="208">
        <f t="shared" si="7"/>
        <v>549.49864935674634</v>
      </c>
      <c r="CI49" s="208">
        <f t="shared" si="8"/>
        <v>2931.2098349422486</v>
      </c>
      <c r="CJ49" s="208">
        <f t="shared" si="9"/>
        <v>1.7133690205653087</v>
      </c>
      <c r="CK49" s="208">
        <f t="shared" si="10"/>
        <v>980.690989153911</v>
      </c>
      <c r="CL49" s="208">
        <f t="shared" si="11"/>
        <v>2200.9075302939223</v>
      </c>
      <c r="CM49" s="208">
        <f t="shared" si="12"/>
        <v>5.6360334303690349</v>
      </c>
      <c r="CN49" s="208">
        <f t="shared" si="13"/>
        <v>1266.0784755094373</v>
      </c>
      <c r="CO49" s="208">
        <f t="shared" si="14"/>
        <v>180.46720192506342</v>
      </c>
      <c r="CP49" s="208">
        <f t="shared" si="15"/>
        <v>623.09447410085454</v>
      </c>
      <c r="CQ49" s="208">
        <f t="shared" si="16"/>
        <v>289.58390449807501</v>
      </c>
      <c r="CR49" s="219">
        <f t="shared" si="17"/>
        <v>29006.999999999996</v>
      </c>
      <c r="CS49" s="225">
        <f t="shared" si="23"/>
        <v>0</v>
      </c>
      <c r="CV49" s="265"/>
      <c r="CW49" s="266" t="s">
        <v>15</v>
      </c>
      <c r="CX49" s="267">
        <f>INDEX($M$44:$Z$57,MATCH($CW49,$L$44:$L$57,0),MATCH(CX$45,$M$45:$Z$45,0))/INDEX(고양시_재차인원!$D$4:$H$35,MATCH("고양시",고양시_재차인원!$B$4:$B$35,0),MATCH('A.일산테크노밸리(859991)_수정'!$CX$44,고양시_재차인원!$D$4:$H$4,0))</f>
        <v>1334.9211999953011</v>
      </c>
      <c r="CY49" s="267">
        <f>INDEX($M$44:$Z$57,MATCH($CW49,$L$44:$L$57,0),MATCH(CY$45,$M$45:$Z$45,0))/INDEX(고양시_재차인원!$K$4:$O$20,MATCH("경기도",고양시_재차인원!$K$4:$K$20,0),MATCH('A.일산테크노밸리(859991)_수정'!CY$45,고양시_재차인원!$K$4:$O$4,0))</f>
        <v>1.1042235602682179E-2</v>
      </c>
      <c r="CZ49" s="267">
        <f>INDEX($M$44:$Z$57,MATCH($CW49,$L$44:$L$57,0),MATCH(CZ$45,$M$45:$Z$45,0))/INDEX(고양시_재차인원!$K$4:$O$20,MATCH("경기도",고양시_재차인원!$K$4:$K$20,0),MATCH('A.일산테크노밸리(859991)_수정'!CZ$45,고양시_재차인원!$K$4:$O$4,0))</f>
        <v>3.0697414975456456</v>
      </c>
      <c r="DA49" s="267">
        <f>INDEX($M$44:$Z$57,MATCH($CW49,$L$44:$L$57,0),MATCH(DA$45,$M$45:$Z$45,0))/INDEX(고양시_재차인원!$K$4:$O$20,MATCH("경기도",고양시_재차인원!$K$4:$K$20,0),MATCH('A.일산테크노밸리(859991)_수정'!DA$45,고양시_재차인원!$K$4:$O$4,0))</f>
        <v>64.00506721757894</v>
      </c>
      <c r="DB49" s="268">
        <f>INDEX($AA$44:$AN$57,MATCH($CW49,$L$44:$L$57,0),MATCH(DB$45,$AA$45:$AN$45,0))/INDEX(고양시_재차인원!$D$4:$H$35,MATCH("고양시",고양시_재차인원!$B$4:$B$35,0),MATCH('A.일산테크노밸리(859991)_수정'!$DB$44,고양시_재차인원!$D$4:$H$4,0))</f>
        <v>5622.6651586503995</v>
      </c>
      <c r="DC49" s="267">
        <f>INDEX($AA$44:$AN$57,MATCH($CW49,$L$44:$L$57,0),MATCH(DC$45,$AA$45:$AN$45,0))/INDEX(고양시_재차인원!$K$4:$O$20,MATCH("경기도",고양시_재차인원!$K$4:$K$20,0),MATCH('A.일산테크노밸리(859991)_수정'!DC$45,고양시_재차인원!$K$4:$O$4,0))</f>
        <v>0</v>
      </c>
      <c r="DD49" s="267">
        <f>INDEX($AA$44:$AN$57,MATCH($CW49,$L$44:$L$57,0),MATCH(DD$45,$AA$45:$AN$45,0))/INDEX(고양시_재차인원!$K$4:$O$20,MATCH("경기도",고양시_재차인원!$K$4:$K$20,0),MATCH('A.일산테크노밸리(859991)_수정'!DD$45,고양시_재차인원!$K$4:$O$4,0))</f>
        <v>29.8813320077182</v>
      </c>
      <c r="DE49" s="267">
        <f>INDEX($AA$44:$AN$57,MATCH($CW49,$L$44:$L$57,0),MATCH(DE$45,$AA$45:$AN$45,0))/INDEX(고양시_재차인원!$K$4:$O$20,MATCH("경기도",고양시_재차인원!$K$4:$K$20,0),MATCH('A.일산테크노밸리(859991)_수정'!DE$45,고양시_재차인원!$K$4:$O$4,0))</f>
        <v>761.4003820077005</v>
      </c>
      <c r="DF49" s="268">
        <f>INDEX($AO$44:$BB$57,MATCH($CW49,$L$44:$L$57,0),MATCH(DF$45,$AO$45:$BB$45,0))/INDEX(고양시_재차인원!$D$4:$H$35,MATCH("고양시",고양시_재차인원!$B$4:$B$35,0),MATCH('A.일산테크노밸리(859991)_수정'!$DF$44,고양시_재차인원!$D$4:$H$4,0))</f>
        <v>617.67025289481785</v>
      </c>
      <c r="DG49" s="267">
        <f>INDEX($AO$44:$BB$57,MATCH($CW49,$L$44:$L$57,0),MATCH(DG$45,$AO$45:$BB$45,0))/INDEX(고양시_재차인원!$K$4:$O$20,MATCH("경기도",고양시_재차인원!$K$4:$K$20,0),MATCH('A.일산테크노밸리(859991)_수정'!DG$45,고양시_재차인원!$K$4:$O$4,0))</f>
        <v>2.6642253294366799E-2</v>
      </c>
      <c r="DH49" s="267">
        <f>INDEX($AO$44:$BB$57,MATCH($CW49,$L$44:$L$57,0),MATCH(DH$45,$AO$45:$BB$45,0))/INDEX(고양시_재차인원!$K$4:$O$20,MATCH("경기도",고양시_재차인원!$K$4:$K$20,0),MATCH('A.일산테크노밸리(859991)_수정'!DH$45,고양시_재차인원!$K$4:$O$4,0))</f>
        <v>1.0542720232199434</v>
      </c>
      <c r="DI49" s="267">
        <f>INDEX($AO$44:$BB$57,MATCH($CW49,$L$44:$L$57,0),MATCH(DI$45,$AO$45:$BB$45,0))/INDEX(고양시_재차인원!$K$4:$O$20,MATCH("경기도",고양시_재차인원!$K$4:$K$20,0),MATCH('A.일산테크노밸리(859991)_수정'!DI$45,고양시_재차인원!$K$4:$O$4,0))</f>
        <v>18.627882899802778</v>
      </c>
      <c r="DJ49" s="268">
        <f>INDEX($BC$44:$BP$57,MATCH($CW49,$L$44:$L$57,0),MATCH(DJ$45,$BC$45:$BP$45,0))/INDEX(고양시_재차인원!$D$4:$H$35,MATCH("고양시",고양시_재차인원!$B$4:$B$35,0),MATCH('A.일산테크노밸리(859991)_수정'!$DJ$44,고양시_재차인원!$D$4:$H$4,0))</f>
        <v>1.8093659995691438</v>
      </c>
      <c r="DK49" s="267">
        <f>INDEX($BC$44:$BP$57,MATCH($CW49,$L$44:$L$57,0),MATCH(DK$45,$BC$45:$BP$45,0))/INDEX(고양시_재차인원!$K$4:$O$20,MATCH("경기도",고양시_재차인원!$K$4:$K$20,0),MATCH('A.일산테크노밸리(859991)_수정'!DK$45,고양시_재차인원!$K$4:$O$4,0))</f>
        <v>5.4806921062697635E-3</v>
      </c>
      <c r="DL49" s="267">
        <f>INDEX($BC$44:$BP$57,MATCH($CW49,$L$44:$L$57,0),MATCH(DL$45,$BC$45:$BP$45,0))/INDEX(고양시_재차인원!$K$4:$O$20,MATCH("경기도",고양시_재차인원!$K$4:$K$20,0),MATCH('A.일산테크노밸리(859991)_수정'!DL$45,고양시_재차인원!$K$4:$O$4,0))</f>
        <v>3.6537947375131748E-3</v>
      </c>
      <c r="DM49" s="267">
        <f>INDEX($BC$44:$BP$57,MATCH($CW49,$L$44:$L$57,0),MATCH(DM$45,$BC$45:$BP$45,0))/INDEX(고양시_재차인원!$K$4:$O$20,MATCH("경기도",고양시_재차인원!$K$4:$K$20,0),MATCH('A.일산테크노밸리(859991)_수정'!DM$45,고양시_재차인원!$K$4:$O$4,0))</f>
        <v>1.5055836228753913E-2</v>
      </c>
      <c r="DN49" s="268">
        <f>INDEX($BQ$44:$CD$57,MATCH($CW49,$L$44:$L$57,0),MATCH(DN$45,$BQ$45:$CD$45,0))/INDEX(고양시_재차인원!$D$4:$H$35,MATCH("고양시",고양시_재차인원!$B$4:$B$35,0),MATCH('A.일산테크노밸리(859991)_수정'!$DN$44,고양시_재차인원!$D$4:$H$4,0))</f>
        <v>4.0947598030666761</v>
      </c>
      <c r="DO49" s="267">
        <f>INDEX($BQ$44:$CD$57,MATCH($CW49,$L$44:$L$57,0),MATCH(DO$45,$BQ$45:$CD$45,0))/INDEX(고양시_재차인원!$K$4:$O$20,MATCH("경기도",고양시_재차인원!$K$4:$K$20,0),MATCH('A.일산테크노밸리(859991)_수정'!DO$45,고양시_재차인원!$K$4:$O$4,0))</f>
        <v>1.63474629899188E-2</v>
      </c>
      <c r="DP49" s="267">
        <f>INDEX($BQ$44:$CD$57,MATCH($CW49,$L$44:$L$57,0),MATCH(DP$45,$BQ$45:$CD$45,0))/INDEX(고양시_재차인원!$K$4:$O$20,MATCH("경기도",고양시_재차인원!$K$4:$K$20,0),MATCH('A.일산테크노밸리(859991)_수정'!DP$45,고양시_재차인원!$K$4:$O$4,0))</f>
        <v>5.4598771739138463E-2</v>
      </c>
      <c r="DQ49" s="267">
        <f>INDEX($BQ$44:$CD$57,MATCH($CW49,$L$44:$L$57,0),MATCH(DQ$45,$BQ$45:$CD$45,0))/INDEX(고양시_재차인원!$K$4:$O$20,MATCH("경기도",고양시_재차인원!$K$4:$K$20,0),MATCH('A.일산테크노밸리(859991)_수정'!DQ$45,고양시_재차인원!$K$4:$O$4,0))</f>
        <v>3.9290449807493572E-3</v>
      </c>
      <c r="DR49" s="269">
        <f t="shared" si="24"/>
        <v>7581.1607373431552</v>
      </c>
      <c r="DS49" s="270">
        <f t="shared" si="18"/>
        <v>5.9512643993237545E-2</v>
      </c>
      <c r="DT49" s="270">
        <f t="shared" si="19"/>
        <v>34.06359809496044</v>
      </c>
      <c r="DU49" s="270">
        <f t="shared" si="20"/>
        <v>844.05231700629167</v>
      </c>
      <c r="DW49" s="278"/>
      <c r="DX49" s="278" t="s">
        <v>595</v>
      </c>
      <c r="DY49" s="281">
        <f t="shared" si="25"/>
        <v>8425.2130543494477</v>
      </c>
      <c r="DZ49" s="281">
        <f t="shared" si="26"/>
        <v>34.123110738953677</v>
      </c>
      <c r="EC49" s="412" t="s">
        <v>14</v>
      </c>
      <c r="ED49" s="412" t="s">
        <v>570</v>
      </c>
      <c r="EE49" s="412">
        <v>5454.9395000000004</v>
      </c>
      <c r="EF49" s="412">
        <v>0.43129277327301779</v>
      </c>
      <c r="EG49" s="413">
        <v>859004</v>
      </c>
      <c r="EH49" s="414">
        <f t="shared" si="27"/>
        <v>112.59748425500153</v>
      </c>
      <c r="EI49" s="415">
        <f t="shared" si="28"/>
        <v>0.456033147099766</v>
      </c>
      <c r="EJ49" s="402">
        <v>0</v>
      </c>
      <c r="EM49" s="278" t="s">
        <v>14</v>
      </c>
      <c r="EN49" s="278" t="s">
        <v>570</v>
      </c>
      <c r="EO49" s="278">
        <v>5454.9395000000004</v>
      </c>
      <c r="EP49" s="278">
        <v>0.43129277327301779</v>
      </c>
      <c r="EQ49" s="289">
        <v>859004</v>
      </c>
      <c r="ER49" s="290">
        <f t="shared" si="29"/>
        <v>112.59748425500153</v>
      </c>
      <c r="ES49" s="291">
        <f t="shared" si="21"/>
        <v>0.456033147099766</v>
      </c>
      <c r="ET49" s="402">
        <v>0</v>
      </c>
      <c r="EV49" s="34"/>
      <c r="EW49" s="34"/>
      <c r="EX49" s="34"/>
      <c r="EY49" s="34"/>
      <c r="EZ49" s="378"/>
      <c r="FA49" s="401"/>
      <c r="FB49" s="402"/>
      <c r="FC49" s="402"/>
    </row>
    <row r="50" spans="1:159" ht="27" customHeight="1">
      <c r="A50" s="205"/>
      <c r="B50" s="205" t="s">
        <v>16</v>
      </c>
      <c r="C50" s="400">
        <f>'A.일산테크노밸리(859991)_수정'!$P32*KTDB_TripDistribution_2025!L$12</f>
        <v>344.57074074390164</v>
      </c>
      <c r="D50" s="400">
        <f>'A.일산테크노밸리(859991)_수정'!$P32*KTDB_TripDistribution_2025!M$12</f>
        <v>2679.4280299473285</v>
      </c>
      <c r="E50" s="400">
        <f>'A.일산테크노밸리(859991)_수정'!$P32*KTDB_TripDistribution_2025!N$12</f>
        <v>118.76659353417722</v>
      </c>
      <c r="F50" s="400">
        <f>'A.일산테크노밸리(859991)_수정'!$P32*KTDB_TripDistribution_2025!O$12</f>
        <v>0.3220788977198038</v>
      </c>
      <c r="G50" s="400">
        <f>'A.일산테크노밸리(859991)_수정'!$P32*KTDB_TripDistribution_2025!P$12</f>
        <v>0.91255687687277287</v>
      </c>
      <c r="H50" s="400">
        <f>'A.일산테크노밸리(859991)_수정'!$P32*KTDB_TripDistribution_2025!Q$12</f>
        <v>3144</v>
      </c>
      <c r="J50" s="230">
        <f t="shared" si="4"/>
        <v>3143.9999999999995</v>
      </c>
      <c r="K50" s="206"/>
      <c r="L50" s="209" t="s">
        <v>16</v>
      </c>
      <c r="M50" s="213">
        <f>INDEX($A$45:$H$57,MATCH($L50,$B$45:$B$57,0),MATCH($M$44,$A$45:$H$45,0))*고양시_Modal_split!C$3 * 0.01</f>
        <v>0.96479807408292451</v>
      </c>
      <c r="N50" s="207">
        <f>INDEX($A$45:$H$57,MATCH($L50,$B$45:$B$57,0),MATCH($M$44,$A$45:$H$45,0))*고양시_Modal_split!D$3 * 0.01</f>
        <v>162.05161937185696</v>
      </c>
      <c r="O50" s="207">
        <f>INDEX($A$45:$H$57,MATCH($L50,$B$45:$B$57,0),MATCH($M$44,$A$45:$H$45,0))*고양시_Modal_split!E$3 * 0.01</f>
        <v>19.606075148328003</v>
      </c>
      <c r="P50" s="207">
        <f>INDEX($A$45:$H$57,MATCH($L50,$B$45:$B$57,0),MATCH($M$44,$A$45:$H$45,0))*고양시_Modal_split!F$3 * 0.01</f>
        <v>31.597136926215782</v>
      </c>
      <c r="Q50" s="207">
        <f>INDEX($A$45:$H$57,MATCH($L50,$B$45:$B$57,0),MATCH($M$44,$A$45:$H$45,0))*고양시_Modal_split!G$3 * 0.01</f>
        <v>3.1700508148438953</v>
      </c>
      <c r="R50" s="207">
        <f>INDEX($A$45:$H$57,MATCH($L50,$B$45:$B$57,0),MATCH($M$44,$A$45:$H$45,0))*고양시_Modal_split!H$3 * 0.01</f>
        <v>3.4457074074390165E-2</v>
      </c>
      <c r="S50" s="207">
        <f>INDEX($A$45:$H$57,MATCH($L50,$B$45:$B$57,0),MATCH($M$44,$A$45:$H$45,0))*고양시_Modal_split!I$3 * 0.01</f>
        <v>9.5790665926804657</v>
      </c>
      <c r="T50" s="207">
        <f>INDEX($A$45:$H$57,MATCH($L50,$B$45:$B$57,0),MATCH($M$44,$A$45:$H$45,0))*고양시_Modal_split!J$3 * 0.01</f>
        <v>104.88733348244367</v>
      </c>
      <c r="U50" s="207">
        <f>INDEX($A$45:$H$57,MATCH($L50,$B$45:$B$57,0),MATCH($M$44,$A$45:$H$45,0))*고양시_Modal_split!K$3 * 0.01</f>
        <v>0.5168561111158525</v>
      </c>
      <c r="V50" s="207">
        <f>INDEX($A$45:$H$57,MATCH($L50,$B$45:$B$57,0),MATCH($M$44,$A$45:$H$45,0))*고양시_Modal_split!L$3 * 0.01</f>
        <v>10.406036370465829</v>
      </c>
      <c r="W50" s="207">
        <f>INDEX($A$45:$H$57,MATCH($L50,$B$45:$B$57,0),MATCH($M$44,$A$45:$H$45,0))*고양시_Modal_split!M$3 * 0.01</f>
        <v>0.79251270371097382</v>
      </c>
      <c r="X50" s="207">
        <f>INDEX($A$45:$H$57,MATCH($L50,$B$45:$B$57,0),MATCH($M$44,$A$45:$H$45,0))*고양시_Modal_split!N$3 * 0.01</f>
        <v>0.34457074074390165</v>
      </c>
      <c r="Y50" s="207">
        <f>INDEX($A$45:$H$57,MATCH($L50,$B$45:$B$57,0),MATCH($M$44,$A$45:$H$45,0))*고양시_Modal_split!O$3 * 0.01</f>
        <v>0.62022733333902291</v>
      </c>
      <c r="Z50" s="214">
        <f>INDEX($A$45:$H$57,MATCH($L50,$B$45:$B$57,0),MATCH($M$44,$A$45:$H$45,0))*고양시_Modal_split!P$3 * 0.01</f>
        <v>344.57074074390164</v>
      </c>
      <c r="AA50" s="213">
        <f>INDEX($A$45:$H$57,MATCH($L50,$B$45:$B$57,0),MATCH($AA$44,$A$45:$H$45,0))*고양시_Modal_split!C$4 * 0.01</f>
        <v>815.61789231596686</v>
      </c>
      <c r="AB50" s="207">
        <f>INDEX($A$45:$H$57,MATCH($L50,$B$45:$B$57,0),MATCH($AA$44,$A$45:$H$45,0))*고양시_Modal_split!D$4 * 0.01</f>
        <v>859.2925692041083</v>
      </c>
      <c r="AC50" s="207">
        <f>INDEX($A$45:$H$57,MATCH($L50,$B$45:$B$57,0),MATCH($AA$44,$A$45:$H$45,0))*고양시_Modal_split!E$4 * 0.01</f>
        <v>208.19155792690745</v>
      </c>
      <c r="AD50" s="207">
        <f>INDEX($A$45:$H$57,MATCH($L50,$B$45:$B$57,0),MATCH($AA$44,$A$45:$H$45,0))*고양시_Modal_split!F$4 * 0.01</f>
        <v>25.45456628449962</v>
      </c>
      <c r="AE50" s="207">
        <f>INDEX($A$45:$H$57,MATCH($L50,$B$45:$B$57,0),MATCH($AA$44,$A$45:$H$45,0))*고양시_Modal_split!G$4 * 0.01</f>
        <v>313.76102230683216</v>
      </c>
      <c r="AF50" s="207">
        <f>INDEX($A$45:$H$57,MATCH($L50,$B$45:$B$57,0),MATCH($AA$44,$A$45:$H$45,0))*고양시_Modal_split!H$4 * 0.01</f>
        <v>0</v>
      </c>
      <c r="AG50" s="207">
        <f>INDEX($A$45:$H$57,MATCH($L50,$B$45:$B$57,0),MATCH($AA$44,$A$45:$H$45,0))*고양시_Modal_split!I$4 * 0.01</f>
        <v>93.244095442167023</v>
      </c>
      <c r="AH50" s="207">
        <f>INDEX($A$45:$H$57,MATCH($L50,$B$45:$B$57,0),MATCH($AA$44,$A$45:$H$45,0))*고양시_Modal_split!J$4 * 0.01</f>
        <v>126.20106021051917</v>
      </c>
      <c r="AI50" s="207">
        <f>INDEX($A$45:$H$57,MATCH($L50,$B$45:$B$57,0),MATCH($AA$44,$A$45:$H$45,0))*고양시_Modal_split!K$4 * 0.01</f>
        <v>0</v>
      </c>
      <c r="AJ50" s="207">
        <f>INDEX($A$45:$H$57,MATCH($L50,$B$45:$B$57,0),MATCH($AA$44,$A$45:$H$45,0))*고양시_Modal_split!L$4 * 0.01</f>
        <v>123.78957498356658</v>
      </c>
      <c r="AK50" s="207">
        <f>INDEX($A$45:$H$57,MATCH($L50,$B$45:$B$57,0),MATCH($AA$44,$A$45:$H$45,0))*고양시_Modal_split!M$4 * 0.01</f>
        <v>17.952167800647103</v>
      </c>
      <c r="AL50" s="207">
        <f>INDEX($A$45:$H$57,MATCH($L50,$B$45:$B$57,0),MATCH($AA$44,$A$45:$H$45,0))*고양시_Modal_split!N$4 * 0.01</f>
        <v>66.985700748683215</v>
      </c>
      <c r="AM50" s="207">
        <f>INDEX($A$45:$H$57,MATCH($L50,$B$45:$B$57,0),MATCH($AA$44,$A$45:$H$45,0))*고양시_Modal_split!O$4 * 0.01</f>
        <v>28.93782272343115</v>
      </c>
      <c r="AN50" s="214">
        <f>INDEX($A$45:$H$57,MATCH($L50,$B$45:$B$57,0),MATCH($AA$44,$A$45:$H$45,0))*고양시_Modal_split!P$4 * 0.01</f>
        <v>2679.4280299473285</v>
      </c>
      <c r="AO50" s="213">
        <f>INDEX($A$45:$H$57,MATCH($L50,$B$45:$B$57,0),MATCH($AO$44,$A$45:$H$45,0))*고양시_Modal_split!C$5 * 0.01</f>
        <v>7.1259956120506326E-2</v>
      </c>
      <c r="AP50" s="207">
        <f>INDEX($A$45:$H$57,MATCH($L50,$B$45:$B$57,0),MATCH($AO$44,$A$45:$H$45,0))*고양시_Modal_split!D$5 * 0.01</f>
        <v>87.032159741845064</v>
      </c>
      <c r="AQ50" s="207">
        <f>INDEX($A$45:$H$57,MATCH($L50,$B$45:$B$57,0),MATCH($AO$44,$A$45:$H$45,0))*고양시_Modal_split!E$5 * 0.01</f>
        <v>11.698509463116457</v>
      </c>
      <c r="AR50" s="207">
        <f>INDEX($A$45:$H$57,MATCH($L50,$B$45:$B$57,0),MATCH($AO$44,$A$45:$H$45,0))*고양시_Modal_split!F$5 * 0.01</f>
        <v>2.4940984642177217</v>
      </c>
      <c r="AS50" s="207">
        <f>INDEX($A$45:$H$57,MATCH($L50,$B$45:$B$57,0),MATCH($AO$44,$A$45:$H$45,0))*고양시_Modal_split!G$5 * 0.01</f>
        <v>0.77198285797215194</v>
      </c>
      <c r="AT50" s="207">
        <f>INDEX($A$45:$H$57,MATCH($L50,$B$45:$B$57,0),MATCH($AO$44,$A$45:$H$45,0))*고양시_Modal_split!H$5 * 0.01</f>
        <v>8.313661547392405E-2</v>
      </c>
      <c r="AU50" s="207">
        <f>INDEX($A$45:$H$57,MATCH($L50,$B$45:$B$57,0),MATCH($AO$44,$A$45:$H$45,0))*고양시_Modal_split!I$5 * 0.01</f>
        <v>3.2898346408967094</v>
      </c>
      <c r="AV50" s="207">
        <f>INDEX($A$45:$H$57,MATCH($L50,$B$45:$B$57,0),MATCH($AO$44,$A$45:$H$45,0))*고양시_Modal_split!J$5 * 0.01</f>
        <v>7.4466654145929123</v>
      </c>
      <c r="AW50" s="207">
        <f>INDEX($A$45:$H$57,MATCH($L50,$B$45:$B$57,0),MATCH($AO$44,$A$45:$H$45,0))*고양시_Modal_split!K$5 * 0.01</f>
        <v>2.3753318706835447E-2</v>
      </c>
      <c r="AX50" s="207">
        <f>INDEX($A$45:$H$57,MATCH($L50,$B$45:$B$57,0),MATCH($AO$44,$A$45:$H$45,0))*고양시_Modal_split!L$5 * 0.01</f>
        <v>3.0285481351215191</v>
      </c>
      <c r="AY50" s="207">
        <f>INDEX($A$45:$H$57,MATCH($L50,$B$45:$B$57,0),MATCH($AO$44,$A$45:$H$45,0))*고양시_Modal_split!M$5 * 0.01</f>
        <v>0.79573617667898744</v>
      </c>
      <c r="AZ50" s="207">
        <f>INDEX($A$45:$H$57,MATCH($L50,$B$45:$B$57,0),MATCH($AO$44,$A$45:$H$45,0))*고양시_Modal_split!N$5 * 0.01</f>
        <v>0.20190320900810124</v>
      </c>
      <c r="BA50" s="207">
        <f>INDEX($A$45:$H$57,MATCH($L50,$B$45:$B$57,0),MATCH($AO$44,$A$45:$H$45,0))*고양시_Modal_split!O$5 * 0.01</f>
        <v>1.8290055404263295</v>
      </c>
      <c r="BB50" s="214">
        <f>INDEX($A$45:$H$57,MATCH($L50,$B$45:$B$57,0),MATCH($AO$44,$A$45:$H$45,0))*고양시_Modal_split!P$5 * 0.01</f>
        <v>118.76659353417722</v>
      </c>
      <c r="BC50" s="213">
        <f>INDEX($A$45:$H$57,MATCH($L50,$B$45:$B$57,0),MATCH($BC$44,$A$45:$H$45,0))*고양시_Modal_split!C$6 * 0.01</f>
        <v>0</v>
      </c>
      <c r="BD50" s="207">
        <f>INDEX($A$45:$H$57,MATCH($L50,$B$45:$B$57,0),MATCH($BC$44,$A$45:$H$45,0))*고양시_Modal_split!D$6 * 0.01</f>
        <v>0.26671353520176949</v>
      </c>
      <c r="BE50" s="207">
        <f>INDEX($A$45:$H$57,MATCH($L50,$B$45:$B$57,0),MATCH($BC$44,$A$45:$H$45,0))*고양시_Modal_split!E$6 * 0.01</f>
        <v>1.3849392601951564E-3</v>
      </c>
      <c r="BF50" s="207">
        <f>INDEX($A$45:$H$57,MATCH($L50,$B$45:$B$57,0),MATCH($BC$44,$A$45:$H$45,0))*고양시_Modal_split!F$6 * 0.01</f>
        <v>3.9293625521816065E-3</v>
      </c>
      <c r="BG50" s="207">
        <f>INDEX($A$45:$H$57,MATCH($L50,$B$45:$B$57,0),MATCH($BC$44,$A$45:$H$45,0))*고양시_Modal_split!G$6 * 0.01</f>
        <v>0</v>
      </c>
      <c r="BH50" s="207">
        <f>INDEX($A$45:$H$57,MATCH($L50,$B$45:$B$57,0),MATCH($BC$44,$A$45:$H$45,0))*고양시_Modal_split!H$6 * 0.01</f>
        <v>1.7102389468921585E-2</v>
      </c>
      <c r="BI50" s="207">
        <f>INDEX($A$45:$H$57,MATCH($L50,$B$45:$B$57,0),MATCH($BC$44,$A$45:$H$45,0))*고양시_Modal_split!I$6 * 0.01</f>
        <v>1.1401592979281054E-2</v>
      </c>
      <c r="BJ50" s="207">
        <f>INDEX($A$45:$H$57,MATCH($L50,$B$45:$B$57,0),MATCH($BC$44,$A$45:$H$45,0))*고양시_Modal_split!J$6 * 0.01</f>
        <v>1.5910697547358306E-2</v>
      </c>
      <c r="BK50" s="207">
        <f>INDEX($A$45:$H$57,MATCH($L50,$B$45:$B$57,0),MATCH($BC$44,$A$45:$H$45,0))*고양시_Modal_split!K$6 * 0.01</f>
        <v>0</v>
      </c>
      <c r="BL50" s="207">
        <f>INDEX($A$45:$H$57,MATCH($L50,$B$45:$B$57,0),MATCH($BC$44,$A$45:$H$45,0))*고양시_Modal_split!L$6 * 0.01</f>
        <v>2.447799622670509E-3</v>
      </c>
      <c r="BM50" s="207">
        <f>INDEX($A$45:$H$57,MATCH($L50,$B$45:$B$57,0),MATCH($BC$44,$A$45:$H$45,0))*고양시_Modal_split!M$6 * 0.01</f>
        <v>2.9309179692502147E-3</v>
      </c>
      <c r="BN50" s="207">
        <f>INDEX($A$45:$H$57,MATCH($L50,$B$45:$B$57,0),MATCH($BC$44,$A$45:$H$45,0))*고양시_Modal_split!N$6 * 0.01</f>
        <v>0</v>
      </c>
      <c r="BO50" s="207">
        <f>INDEX($A$45:$H$57,MATCH($L50,$B$45:$B$57,0),MATCH($BC$44,$A$45:$H$45,0))*고양시_Modal_split!O$6 * 0.01</f>
        <v>2.5766311817584307E-4</v>
      </c>
      <c r="BP50" s="214">
        <f>INDEX($A$45:$H$57,MATCH($L50,$B$45:$B$57,0),MATCH($BC$44,$A$45:$H$45,0))*고양시_Modal_split!P$6 * 0.01</f>
        <v>0.32207889771980386</v>
      </c>
      <c r="BQ50" s="213">
        <f>INDEX($A$45:$H$57,MATCH($L50,$B$45:$B$57,0),MATCH($BQ$44,$A$45:$H$45,0))*고양시_Modal_split!C$7 * 0.01</f>
        <v>0</v>
      </c>
      <c r="BR50" s="207">
        <f>INDEX($A$45:$H$57,MATCH($L50,$B$45:$B$57,0),MATCH($BQ$44,$A$45:$H$45,0))*고양시_Modal_split!D$7 * 0.01</f>
        <v>0.55921485414763528</v>
      </c>
      <c r="BS50" s="207">
        <f>INDEX($A$45:$H$57,MATCH($L50,$B$45:$B$57,0),MATCH($BQ$44,$A$45:$H$45,0))*고양시_Modal_split!E$7 * 0.01</f>
        <v>2.728545061849591E-2</v>
      </c>
      <c r="BT50" s="207">
        <f>INDEX($A$45:$H$57,MATCH($L50,$B$45:$B$57,0),MATCH($BQ$44,$A$45:$H$45,0))*고양시_Modal_split!F$7 * 0.01</f>
        <v>9.1255687687277296E-3</v>
      </c>
      <c r="BU50" s="207">
        <f>INDEX($A$45:$H$57,MATCH($L50,$B$45:$B$57,0),MATCH($BQ$44,$A$45:$H$45,0))*고양시_Modal_split!G$7 * 0.01</f>
        <v>3.8327388828656461E-3</v>
      </c>
      <c r="BV50" s="207">
        <f>INDEX($A$45:$H$57,MATCH($L50,$B$45:$B$57,0),MATCH($BQ$44,$A$45:$H$45,0))*고양시_Modal_split!H$7 * 0.01</f>
        <v>5.1011929417188004E-2</v>
      </c>
      <c r="BW50" s="207">
        <f>INDEX($A$45:$H$57,MATCH($L50,$B$45:$B$57,0),MATCH($BQ$44,$A$45:$H$45,0))*고양시_Modal_split!I$7 * 0.01</f>
        <v>0.17037436891214672</v>
      </c>
      <c r="BX50" s="207">
        <f>INDEX($A$45:$H$57,MATCH($L50,$B$45:$B$57,0),MATCH($BQ$44,$A$45:$H$45,0))*고양시_Modal_split!J$7 * 0.01</f>
        <v>1.825113753745546E-4</v>
      </c>
      <c r="BY50" s="207">
        <f>INDEX($A$45:$H$57,MATCH($L50,$B$45:$B$57,0),MATCH($BQ$44,$A$45:$H$45,0))*고양시_Modal_split!K$7 * 0.01</f>
        <v>7.0266879519203518E-2</v>
      </c>
      <c r="BZ50" s="207">
        <f>INDEX($A$45:$H$57,MATCH($L50,$B$45:$B$57,0),MATCH($BQ$44,$A$45:$H$45,0))*고양시_Modal_split!L$7 * 0.01</f>
        <v>6.387898138109409E-4</v>
      </c>
      <c r="CA50" s="207">
        <f>INDEX($A$45:$H$57,MATCH($L50,$B$45:$B$57,0),MATCH($BQ$44,$A$45:$H$45,0))*고양시_Modal_split!M$7 * 0.01</f>
        <v>1.7064813597520854E-2</v>
      </c>
      <c r="CB50" s="207">
        <f>INDEX($A$45:$H$57,MATCH($L50,$B$45:$B$57,0),MATCH($BQ$44,$A$45:$H$45,0))*고양시_Modal_split!N$7 * 0.01</f>
        <v>3.558971819803814E-3</v>
      </c>
      <c r="CC50" s="207">
        <f>INDEX($A$45:$H$57,MATCH($L50,$B$45:$B$57,0),MATCH($BQ$44,$A$45:$H$45,0))*고양시_Modal_split!O$7 * 0.01</f>
        <v>0</v>
      </c>
      <c r="CD50" s="214">
        <f>INDEX($A$45:$H$57,MATCH($L50,$B$45:$B$57,0),MATCH($BQ$44,$A$45:$H$45,0))*고양시_Modal_split!P$7 * 0.01</f>
        <v>0.91255687687277287</v>
      </c>
      <c r="CE50" s="218">
        <f t="shared" si="22"/>
        <v>816.65395034617029</v>
      </c>
      <c r="CF50" s="208">
        <f t="shared" si="5"/>
        <v>1109.2022767071599</v>
      </c>
      <c r="CG50" s="208">
        <f t="shared" si="6"/>
        <v>239.52481292823063</v>
      </c>
      <c r="CH50" s="208">
        <f t="shared" si="7"/>
        <v>59.558856606254039</v>
      </c>
      <c r="CI50" s="208">
        <f t="shared" si="8"/>
        <v>317.70688871853105</v>
      </c>
      <c r="CJ50" s="208">
        <f t="shared" si="9"/>
        <v>0.18570800843442381</v>
      </c>
      <c r="CK50" s="208">
        <f t="shared" si="10"/>
        <v>106.29477263763563</v>
      </c>
      <c r="CL50" s="208">
        <f t="shared" si="11"/>
        <v>238.55115231647846</v>
      </c>
      <c r="CM50" s="208">
        <f t="shared" si="12"/>
        <v>0.61087630934189152</v>
      </c>
      <c r="CN50" s="208">
        <f t="shared" si="13"/>
        <v>137.22724607859044</v>
      </c>
      <c r="CO50" s="208">
        <f t="shared" si="14"/>
        <v>19.560412412603835</v>
      </c>
      <c r="CP50" s="208">
        <f t="shared" si="15"/>
        <v>67.535733670255027</v>
      </c>
      <c r="CQ50" s="208">
        <f t="shared" si="16"/>
        <v>31.387313260314681</v>
      </c>
      <c r="CR50" s="219">
        <f t="shared" si="17"/>
        <v>3143.9999999999995</v>
      </c>
      <c r="CS50" s="225">
        <f t="shared" si="23"/>
        <v>0</v>
      </c>
      <c r="CV50" s="265"/>
      <c r="CW50" s="266" t="s">
        <v>16</v>
      </c>
      <c r="CX50" s="267">
        <f>INDEX($M$44:$Z$57,MATCH($CW50,$L$44:$L$57,0),MATCH(CX$45,$M$45:$Z$45,0))/INDEX(고양시_재차인원!$D$4:$H$35,MATCH("고양시",고양시_재차인원!$B$4:$B$35,0),MATCH('A.일산테크노밸리(859991)_수정'!$CX$44,고양시_재차인원!$D$4:$H$4,0))</f>
        <v>144.68894586772942</v>
      </c>
      <c r="CY50" s="267">
        <f>INDEX($M$44:$Z$57,MATCH($CW50,$L$44:$L$57,0),MATCH(CY$45,$M$45:$Z$45,0))/INDEX(고양시_재차인원!$K$4:$O$20,MATCH("경기도",고양시_재차인원!$K$4:$K$20,0),MATCH('A.일산테크노밸리(859991)_수정'!CY$45,고양시_재차인원!$K$4:$O$4,0))</f>
        <v>1.1968417531917389E-3</v>
      </c>
      <c r="CZ50" s="267">
        <f>INDEX($M$44:$Z$57,MATCH($CW50,$L$44:$L$57,0),MATCH(CZ$45,$M$45:$Z$45,0))/INDEX(고양시_재차인원!$K$4:$O$20,MATCH("경기도",고양시_재차인원!$K$4:$K$20,0),MATCH('A.일산테크노밸리(859991)_수정'!CZ$45,고양시_재차인원!$K$4:$O$4,0))</f>
        <v>0.33272200738730345</v>
      </c>
      <c r="DA50" s="267">
        <f>INDEX($M$44:$Z$57,MATCH($CW50,$L$44:$L$57,0),MATCH(DA$45,$M$45:$Z$45,0))/INDEX(고양시_재차인원!$K$4:$O$20,MATCH("경기도",고양시_재차인원!$K$4:$K$20,0),MATCH('A.일산테크노밸리(859991)_수정'!DA$45,고양시_재차인원!$K$4:$O$4,0))</f>
        <v>6.9373575803105529</v>
      </c>
      <c r="DB50" s="268">
        <f>INDEX($AA$44:$AN$57,MATCH($CW50,$L$44:$L$57,0),MATCH(DB$45,$AA$45:$AN$45,0))/INDEX(고양시_재차인원!$D$4:$H$35,MATCH("고양시",고양시_재차인원!$B$4:$B$35,0),MATCH('A.일산테크노밸리(859991)_수정'!$DB$44,고양시_재차인원!$D$4:$H$4,0))</f>
        <v>609.42735404546693</v>
      </c>
      <c r="DC50" s="267">
        <f>INDEX($AA$44:$AN$57,MATCH($CW50,$L$44:$L$57,0),MATCH(DC$45,$AA$45:$AN$45,0))/INDEX(고양시_재차인원!$K$4:$O$20,MATCH("경기도",고양시_재차인원!$K$4:$K$20,0),MATCH('A.일산테크노밸리(859991)_수정'!DC$45,고양시_재차인원!$K$4:$O$4,0))</f>
        <v>0</v>
      </c>
      <c r="DD50" s="267">
        <f>INDEX($AA$44:$AN$57,MATCH($CW50,$L$44:$L$57,0),MATCH(DD$45,$AA$45:$AN$45,0))/INDEX(고양시_재차인원!$K$4:$O$20,MATCH("경기도",고양시_재차인원!$K$4:$K$20,0),MATCH('A.일산테크노밸리(859991)_수정'!DD$45,고양시_재차인원!$K$4:$O$4,0))</f>
        <v>3.238766774649775</v>
      </c>
      <c r="DE50" s="267">
        <f>INDEX($AA$44:$AN$57,MATCH($CW50,$L$44:$L$57,0),MATCH(DE$45,$AA$45:$AN$45,0))/INDEX(고양시_재차인원!$K$4:$O$20,MATCH("경기도",고양시_재차인원!$K$4:$K$20,0),MATCH('A.일산테크노밸리(859991)_수정'!DE$45,고양시_재차인원!$K$4:$O$4,0))</f>
        <v>82.526383322377725</v>
      </c>
      <c r="DF50" s="268">
        <f>INDEX($AO$44:$BB$57,MATCH($CW50,$L$44:$L$57,0),MATCH(DF$45,$AO$45:$BB$45,0))/INDEX(고양시_재차인원!$D$4:$H$35,MATCH("고양시",고양시_재차인원!$B$4:$B$35,0),MATCH('A.일산테크노밸리(859991)_수정'!$DF$44,고양시_재차인원!$D$4:$H$4,0))</f>
        <v>66.94781518603466</v>
      </c>
      <c r="DG50" s="267">
        <f>INDEX($AO$44:$BB$57,MATCH($CW50,$L$44:$L$57,0),MATCH(DG$45,$AO$45:$BB$45,0))/INDEX(고양시_재차인원!$K$4:$O$20,MATCH("경기도",고양시_재차인원!$K$4:$K$20,0),MATCH('A.일산테크노밸리(859991)_수정'!DG$45,고양시_재차인원!$K$4:$O$4,0))</f>
        <v>2.8876907076736385E-3</v>
      </c>
      <c r="DH50" s="267">
        <f>INDEX($AO$44:$BB$57,MATCH($CW50,$L$44:$L$57,0),MATCH(DH$45,$AO$45:$BB$45,0))/INDEX(고양시_재차인원!$K$4:$O$20,MATCH("경기도",고양시_재차인원!$K$4:$K$20,0),MATCH('A.일산테크노밸리(859991)_수정'!DH$45,고양시_재차인원!$K$4:$O$4,0))</f>
        <v>0.11427004657508542</v>
      </c>
      <c r="DI50" s="267">
        <f>INDEX($AO$44:$BB$57,MATCH($CW50,$L$44:$L$57,0),MATCH(DI$45,$AO$45:$BB$45,0))/INDEX(고양시_재차인원!$K$4:$O$20,MATCH("경기도",고양시_재차인원!$K$4:$K$20,0),MATCH('A.일산테크노밸리(859991)_수정'!DI$45,고양시_재차인원!$K$4:$O$4,0))</f>
        <v>2.0190320900810126</v>
      </c>
      <c r="DJ50" s="268">
        <f>INDEX($BC$44:$BP$57,MATCH($CW50,$L$44:$L$57,0),MATCH(DJ$45,$BC$45:$BP$45,0))/INDEX(고양시_재차인원!$D$4:$H$35,MATCH("고양시",고양시_재차인원!$B$4:$B$35,0),MATCH('A.일산테크노밸리(859991)_수정'!$DJ$44,고양시_재차인원!$D$4:$H$4,0))</f>
        <v>0.19611289353071285</v>
      </c>
      <c r="DK50" s="267">
        <f>INDEX($BC$44:$BP$57,MATCH($CW50,$L$44:$L$57,0),MATCH(DK$45,$BC$45:$BP$45,0))/INDEX(고양시_재차인원!$K$4:$O$20,MATCH("경기도",고양시_재차인원!$K$4:$K$20,0),MATCH('A.일산테크노밸리(859991)_수정'!DK$45,고양시_재차인원!$K$4:$O$4,0))</f>
        <v>5.9403923129286505E-4</v>
      </c>
      <c r="DL50" s="267">
        <f>INDEX($BC$44:$BP$57,MATCH($CW50,$L$44:$L$57,0),MATCH(DL$45,$BC$45:$BP$45,0))/INDEX(고양시_재차인원!$K$4:$O$20,MATCH("경기도",고양시_재차인원!$K$4:$K$20,0),MATCH('A.일산테크노밸리(859991)_수정'!DL$45,고양시_재차인원!$K$4:$O$4,0))</f>
        <v>3.9602615419524328E-4</v>
      </c>
      <c r="DM50" s="267">
        <f>INDEX($BC$44:$BP$57,MATCH($CW50,$L$44:$L$57,0),MATCH(DM$45,$BC$45:$BP$45,0))/INDEX(고양시_재차인원!$K$4:$O$20,MATCH("경기도",고양시_재차인원!$K$4:$K$20,0),MATCH('A.일산테크노밸리(859991)_수정'!DM$45,고양시_재차인원!$K$4:$O$4,0))</f>
        <v>1.6318664151136726E-3</v>
      </c>
      <c r="DN50" s="268">
        <f>INDEX($BQ$44:$CD$57,MATCH($CW50,$L$44:$L$57,0),MATCH(DN$45,$BQ$45:$CD$45,0))/INDEX(고양시_재차인원!$D$4:$H$35,MATCH("고양시",고양시_재차인원!$B$4:$B$35,0),MATCH('A.일산테크노밸리(859991)_수정'!$DN$44,고양시_재차인원!$D$4:$H$4,0))</f>
        <v>0.44382131281558357</v>
      </c>
      <c r="DO50" s="267">
        <f>INDEX($BQ$44:$CD$57,MATCH($CW50,$L$44:$L$57,0),MATCH(DO$45,$BQ$45:$CD$45,0))/INDEX(고양시_재차인원!$K$4:$O$20,MATCH("경기도",고양시_재차인원!$K$4:$K$20,0),MATCH('A.일산테크노밸리(859991)_수정'!DO$45,고양시_재차인원!$K$4:$O$4,0))</f>
        <v>1.771862779339632E-3</v>
      </c>
      <c r="DP50" s="267">
        <f>INDEX($BQ$44:$CD$57,MATCH($CW50,$L$44:$L$57,0),MATCH(DP$45,$BQ$45:$CD$45,0))/INDEX(고양시_재차인원!$K$4:$O$20,MATCH("경기도",고양시_재차인원!$K$4:$K$20,0),MATCH('A.일산테크노밸리(859991)_수정'!DP$45,고양시_재차인원!$K$4:$O$4,0))</f>
        <v>5.9178315009429218E-3</v>
      </c>
      <c r="DQ50" s="267">
        <f>INDEX($BQ$44:$CD$57,MATCH($CW50,$L$44:$L$57,0),MATCH(DQ$45,$BQ$45:$CD$45,0))/INDEX(고양시_재차인원!$K$4:$O$20,MATCH("경기도",고양시_재차인원!$K$4:$K$20,0),MATCH('A.일산테크노밸리(859991)_수정'!DQ$45,고양시_재차인원!$K$4:$O$4,0))</f>
        <v>4.258598758739606E-4</v>
      </c>
      <c r="DR50" s="269">
        <f t="shared" si="24"/>
        <v>821.70404930557731</v>
      </c>
      <c r="DS50" s="270">
        <f t="shared" si="18"/>
        <v>6.4504344714978743E-3</v>
      </c>
      <c r="DT50" s="270">
        <f t="shared" si="19"/>
        <v>3.6920726862673021</v>
      </c>
      <c r="DU50" s="270">
        <f t="shared" si="20"/>
        <v>91.48483071906027</v>
      </c>
      <c r="DW50" s="278"/>
      <c r="DX50" s="278" t="s">
        <v>593</v>
      </c>
      <c r="DY50" s="281">
        <f t="shared" si="25"/>
        <v>913.18888002463757</v>
      </c>
      <c r="DZ50" s="281">
        <f t="shared" si="26"/>
        <v>3.6985231207388001</v>
      </c>
      <c r="EC50" s="412" t="s">
        <v>14</v>
      </c>
      <c r="ED50" s="412" t="s">
        <v>79</v>
      </c>
      <c r="EE50" s="412">
        <v>7192.9411</v>
      </c>
      <c r="EF50" s="412">
        <v>0.56870722672698226</v>
      </c>
      <c r="EG50" s="413">
        <v>859005</v>
      </c>
      <c r="EH50" s="414">
        <f t="shared" si="27"/>
        <v>148.47223736475965</v>
      </c>
      <c r="EI50" s="415">
        <f t="shared" si="28"/>
        <v>0.6013301461430054</v>
      </c>
      <c r="EJ50" s="402">
        <v>0</v>
      </c>
      <c r="EM50" s="278" t="s">
        <v>14</v>
      </c>
      <c r="EN50" s="278" t="s">
        <v>79</v>
      </c>
      <c r="EO50" s="278">
        <v>7192.9411</v>
      </c>
      <c r="EP50" s="278">
        <v>0.56870722672698226</v>
      </c>
      <c r="EQ50" s="289">
        <v>859005</v>
      </c>
      <c r="ER50" s="290">
        <f t="shared" si="29"/>
        <v>148.47223736475965</v>
      </c>
      <c r="ES50" s="291">
        <f t="shared" si="21"/>
        <v>0.6013301461430054</v>
      </c>
      <c r="ET50" s="402">
        <v>0</v>
      </c>
      <c r="EV50" s="34"/>
      <c r="EW50" s="34"/>
      <c r="EX50" s="34"/>
      <c r="EY50" s="34"/>
      <c r="EZ50" s="378"/>
      <c r="FA50" s="401"/>
      <c r="FB50" s="402"/>
      <c r="FC50" s="402"/>
    </row>
    <row r="51" spans="1:159" ht="27" customHeight="1">
      <c r="A51" s="205"/>
      <c r="B51" s="205" t="s">
        <v>17</v>
      </c>
      <c r="C51" s="400">
        <f>'A.일산테크노밸리(859991)_수정'!$P33*KTDB_TripDistribution_2025!L$12</f>
        <v>294.15644661470486</v>
      </c>
      <c r="D51" s="400">
        <f>'A.일산테크노밸리(859991)_수정'!$P33*KTDB_TripDistribution_2025!M$12</f>
        <v>2287.3997558456203</v>
      </c>
      <c r="E51" s="400">
        <f>'A.일산테크노밸리(859991)_수정'!$P33*KTDB_TripDistribution_2025!N$12</f>
        <v>101.38980185932941</v>
      </c>
      <c r="F51" s="400">
        <f>'A.일산테크노밸리(859991)_수정'!$P33*KTDB_TripDistribution_2025!O$12</f>
        <v>0.27495539487275872</v>
      </c>
      <c r="G51" s="400">
        <f>'A.일산테크노밸리(859991)_수정'!$P33*KTDB_TripDistribution_2025!P$12</f>
        <v>0.77904028547281245</v>
      </c>
      <c r="H51" s="400">
        <f>'A.일산테크노밸리(859991)_수정'!$P33*KTDB_TripDistribution_2025!Q$12</f>
        <v>2684</v>
      </c>
      <c r="J51" s="230">
        <f t="shared" si="4"/>
        <v>2684.0000000000005</v>
      </c>
      <c r="K51" s="206"/>
      <c r="L51" s="209" t="s">
        <v>17</v>
      </c>
      <c r="M51" s="213">
        <f>INDEX($A$45:$H$57,MATCH($L51,$B$45:$B$57,0),MATCH($M$44,$A$45:$H$45,0))*고양시_Modal_split!C$3 * 0.01</f>
        <v>0.82363805052117356</v>
      </c>
      <c r="N51" s="207">
        <f>INDEX($A$45:$H$57,MATCH($L51,$B$45:$B$57,0),MATCH($M$44,$A$45:$H$45,0))*고양시_Modal_split!D$3 * 0.01</f>
        <v>138.34177684289571</v>
      </c>
      <c r="O51" s="207">
        <f>INDEX($A$45:$H$57,MATCH($L51,$B$45:$B$57,0),MATCH($M$44,$A$45:$H$45,0))*고양시_Modal_split!E$3 * 0.01</f>
        <v>16.737501812376706</v>
      </c>
      <c r="P51" s="207">
        <f>INDEX($A$45:$H$57,MATCH($L51,$B$45:$B$57,0),MATCH($M$44,$A$45:$H$45,0))*고양시_Modal_split!F$3 * 0.01</f>
        <v>26.974146154568434</v>
      </c>
      <c r="Q51" s="207">
        <f>INDEX($A$45:$H$57,MATCH($L51,$B$45:$B$57,0),MATCH($M$44,$A$45:$H$45,0))*고양시_Modal_split!G$3 * 0.01</f>
        <v>2.7062393088552845</v>
      </c>
      <c r="R51" s="207">
        <f>INDEX($A$45:$H$57,MATCH($L51,$B$45:$B$57,0),MATCH($M$44,$A$45:$H$45,0))*고양시_Modal_split!H$3 * 0.01</f>
        <v>2.9415644661470487E-2</v>
      </c>
      <c r="S51" s="207">
        <f>INDEX($A$45:$H$57,MATCH($L51,$B$45:$B$57,0),MATCH($M$44,$A$45:$H$45,0))*고양시_Modal_split!I$3 * 0.01</f>
        <v>8.1775492158887957</v>
      </c>
      <c r="T51" s="207">
        <f>INDEX($A$45:$H$57,MATCH($L51,$B$45:$B$57,0),MATCH($M$44,$A$45:$H$45,0))*고양시_Modal_split!J$3 * 0.01</f>
        <v>89.541222349516161</v>
      </c>
      <c r="U51" s="207">
        <f>INDEX($A$45:$H$57,MATCH($L51,$B$45:$B$57,0),MATCH($M$44,$A$45:$H$45,0))*고양시_Modal_split!K$3 * 0.01</f>
        <v>0.44123466992205729</v>
      </c>
      <c r="V51" s="207">
        <f>INDEX($A$45:$H$57,MATCH($L51,$B$45:$B$57,0),MATCH($M$44,$A$45:$H$45,0))*고양시_Modal_split!L$3 * 0.01</f>
        <v>8.883524687764087</v>
      </c>
      <c r="W51" s="207">
        <f>INDEX($A$45:$H$57,MATCH($L51,$B$45:$B$57,0),MATCH($M$44,$A$45:$H$45,0))*고양시_Modal_split!M$3 * 0.01</f>
        <v>0.67655982721382113</v>
      </c>
      <c r="X51" s="207">
        <f>INDEX($A$45:$H$57,MATCH($L51,$B$45:$B$57,0),MATCH($M$44,$A$45:$H$45,0))*고양시_Modal_split!N$3 * 0.01</f>
        <v>0.29415644661470486</v>
      </c>
      <c r="Y51" s="207">
        <f>INDEX($A$45:$H$57,MATCH($L51,$B$45:$B$57,0),MATCH($M$44,$A$45:$H$45,0))*고양시_Modal_split!O$3 * 0.01</f>
        <v>0.52948160390646881</v>
      </c>
      <c r="Z51" s="214">
        <f>INDEX($A$45:$H$57,MATCH($L51,$B$45:$B$57,0),MATCH($M$44,$A$45:$H$45,0))*고양시_Modal_split!P$3 * 0.01</f>
        <v>294.15644661470486</v>
      </c>
      <c r="AA51" s="213">
        <f>INDEX($A$45:$H$57,MATCH($L51,$B$45:$B$57,0),MATCH($AA$44,$A$45:$H$45,0))*고양시_Modal_split!C$4 * 0.01</f>
        <v>696.284485679407</v>
      </c>
      <c r="AB51" s="207">
        <f>INDEX($A$45:$H$57,MATCH($L51,$B$45:$B$57,0),MATCH($AA$44,$A$45:$H$45,0))*고양시_Modal_split!D$4 * 0.01</f>
        <v>733.56910169969058</v>
      </c>
      <c r="AC51" s="207">
        <f>INDEX($A$45:$H$57,MATCH($L51,$B$45:$B$57,0),MATCH($AA$44,$A$45:$H$45,0))*고양시_Modal_split!E$4 * 0.01</f>
        <v>177.73096102920471</v>
      </c>
      <c r="AD51" s="207">
        <f>INDEX($A$45:$H$57,MATCH($L51,$B$45:$B$57,0),MATCH($AA$44,$A$45:$H$45,0))*고양시_Modal_split!F$4 * 0.01</f>
        <v>21.73029768053339</v>
      </c>
      <c r="AE51" s="207">
        <f>INDEX($A$45:$H$57,MATCH($L51,$B$45:$B$57,0),MATCH($AA$44,$A$45:$H$45,0))*고양시_Modal_split!G$4 * 0.01</f>
        <v>267.85451140952216</v>
      </c>
      <c r="AF51" s="207">
        <f>INDEX($A$45:$H$57,MATCH($L51,$B$45:$B$57,0),MATCH($AA$44,$A$45:$H$45,0))*고양시_Modal_split!H$4 * 0.01</f>
        <v>0</v>
      </c>
      <c r="AG51" s="207">
        <f>INDEX($A$45:$H$57,MATCH($L51,$B$45:$B$57,0),MATCH($AA$44,$A$45:$H$45,0))*고양시_Modal_split!I$4 * 0.01</f>
        <v>79.601511503427574</v>
      </c>
      <c r="AH51" s="207">
        <f>INDEX($A$45:$H$57,MATCH($L51,$B$45:$B$57,0),MATCH($AA$44,$A$45:$H$45,0))*고양시_Modal_split!J$4 * 0.01</f>
        <v>107.73652850032872</v>
      </c>
      <c r="AI51" s="207">
        <f>INDEX($A$45:$H$57,MATCH($L51,$B$45:$B$57,0),MATCH($AA$44,$A$45:$H$45,0))*고양시_Modal_split!K$4 * 0.01</f>
        <v>0</v>
      </c>
      <c r="AJ51" s="207">
        <f>INDEX($A$45:$H$57,MATCH($L51,$B$45:$B$57,0),MATCH($AA$44,$A$45:$H$45,0))*고양시_Modal_split!L$4 * 0.01</f>
        <v>105.67786872006765</v>
      </c>
      <c r="AK51" s="207">
        <f>INDEX($A$45:$H$57,MATCH($L51,$B$45:$B$57,0),MATCH($AA$44,$A$45:$H$45,0))*고양시_Modal_split!M$4 * 0.01</f>
        <v>15.325578364165658</v>
      </c>
      <c r="AL51" s="207">
        <f>INDEX($A$45:$H$57,MATCH($L51,$B$45:$B$57,0),MATCH($AA$44,$A$45:$H$45,0))*고양시_Modal_split!N$4 * 0.01</f>
        <v>57.184993896140512</v>
      </c>
      <c r="AM51" s="207">
        <f>INDEX($A$45:$H$57,MATCH($L51,$B$45:$B$57,0),MATCH($AA$44,$A$45:$H$45,0))*고양시_Modal_split!O$4 * 0.01</f>
        <v>24.7039173631327</v>
      </c>
      <c r="AN51" s="214">
        <f>INDEX($A$45:$H$57,MATCH($L51,$B$45:$B$57,0),MATCH($AA$44,$A$45:$H$45,0))*고양시_Modal_split!P$4 * 0.01</f>
        <v>2287.3997558456203</v>
      </c>
      <c r="AO51" s="213">
        <f>INDEX($A$45:$H$57,MATCH($L51,$B$45:$B$57,0),MATCH($AO$44,$A$45:$H$45,0))*고양시_Modal_split!C$5 * 0.01</f>
        <v>6.0833881115597642E-2</v>
      </c>
      <c r="AP51" s="207">
        <f>INDEX($A$45:$H$57,MATCH($L51,$B$45:$B$57,0),MATCH($AO$44,$A$45:$H$45,0))*고양시_Modal_split!D$5 * 0.01</f>
        <v>74.298446802516594</v>
      </c>
      <c r="AQ51" s="207">
        <f>INDEX($A$45:$H$57,MATCH($L51,$B$45:$B$57,0),MATCH($AO$44,$A$45:$H$45,0))*고양시_Modal_split!E$5 * 0.01</f>
        <v>9.9868954831439467</v>
      </c>
      <c r="AR51" s="207">
        <f>INDEX($A$45:$H$57,MATCH($L51,$B$45:$B$57,0),MATCH($AO$44,$A$45:$H$45,0))*고양시_Modal_split!F$5 * 0.01</f>
        <v>2.1291858390459177</v>
      </c>
      <c r="AS51" s="207">
        <f>INDEX($A$45:$H$57,MATCH($L51,$B$45:$B$57,0),MATCH($AO$44,$A$45:$H$45,0))*고양시_Modal_split!G$5 * 0.01</f>
        <v>0.65903371208564121</v>
      </c>
      <c r="AT51" s="207">
        <f>INDEX($A$45:$H$57,MATCH($L51,$B$45:$B$57,0),MATCH($AO$44,$A$45:$H$45,0))*고양시_Modal_split!H$5 * 0.01</f>
        <v>7.0972861301530576E-2</v>
      </c>
      <c r="AU51" s="207">
        <f>INDEX($A$45:$H$57,MATCH($L51,$B$45:$B$57,0),MATCH($AO$44,$A$45:$H$45,0))*고양시_Modal_split!I$5 * 0.01</f>
        <v>2.8084975115034245</v>
      </c>
      <c r="AV51" s="207">
        <f>INDEX($A$45:$H$57,MATCH($L51,$B$45:$B$57,0),MATCH($AO$44,$A$45:$H$45,0))*고양시_Modal_split!J$5 * 0.01</f>
        <v>6.3571405765799547</v>
      </c>
      <c r="AW51" s="207">
        <f>INDEX($A$45:$H$57,MATCH($L51,$B$45:$B$57,0),MATCH($AO$44,$A$45:$H$45,0))*고양시_Modal_split!K$5 * 0.01</f>
        <v>2.0277960371865883E-2</v>
      </c>
      <c r="AX51" s="207">
        <f>INDEX($A$45:$H$57,MATCH($L51,$B$45:$B$57,0),MATCH($AO$44,$A$45:$H$45,0))*고양시_Modal_split!L$5 * 0.01</f>
        <v>2.5854399474128997</v>
      </c>
      <c r="AY51" s="207">
        <f>INDEX($A$45:$H$57,MATCH($L51,$B$45:$B$57,0),MATCH($AO$44,$A$45:$H$45,0))*고양시_Modal_split!M$5 * 0.01</f>
        <v>0.67931167245750712</v>
      </c>
      <c r="AZ51" s="207">
        <f>INDEX($A$45:$H$57,MATCH($L51,$B$45:$B$57,0),MATCH($AO$44,$A$45:$H$45,0))*고양시_Modal_split!N$5 * 0.01</f>
        <v>0.17236266316085999</v>
      </c>
      <c r="BA51" s="207">
        <f>INDEX($A$45:$H$57,MATCH($L51,$B$45:$B$57,0),MATCH($AO$44,$A$45:$H$45,0))*고양시_Modal_split!O$5 * 0.01</f>
        <v>1.5614029486336731</v>
      </c>
      <c r="BB51" s="214">
        <f>INDEX($A$45:$H$57,MATCH($L51,$B$45:$B$57,0),MATCH($AO$44,$A$45:$H$45,0))*고양시_Modal_split!P$5 * 0.01</f>
        <v>101.3898018593294</v>
      </c>
      <c r="BC51" s="213">
        <f>INDEX($A$45:$H$57,MATCH($L51,$B$45:$B$57,0),MATCH($BC$44,$A$45:$H$45,0))*고양시_Modal_split!C$6 * 0.01</f>
        <v>0</v>
      </c>
      <c r="BD51" s="207">
        <f>INDEX($A$45:$H$57,MATCH($L51,$B$45:$B$57,0),MATCH($BC$44,$A$45:$H$45,0))*고양시_Modal_split!D$6 * 0.01</f>
        <v>0.22769056249413147</v>
      </c>
      <c r="BE51" s="207">
        <f>INDEX($A$45:$H$57,MATCH($L51,$B$45:$B$57,0),MATCH($BC$44,$A$45:$H$45,0))*고양시_Modal_split!E$6 * 0.01</f>
        <v>1.1823081979528624E-3</v>
      </c>
      <c r="BF51" s="207">
        <f>INDEX($A$45:$H$57,MATCH($L51,$B$45:$B$57,0),MATCH($BC$44,$A$45:$H$45,0))*고양시_Modal_split!F$6 * 0.01</f>
        <v>3.3544558174476566E-3</v>
      </c>
      <c r="BG51" s="207">
        <f>INDEX($A$45:$H$57,MATCH($L51,$B$45:$B$57,0),MATCH($BC$44,$A$45:$H$45,0))*고양시_Modal_split!G$6 * 0.01</f>
        <v>0</v>
      </c>
      <c r="BH51" s="207">
        <f>INDEX($A$45:$H$57,MATCH($L51,$B$45:$B$57,0),MATCH($BC$44,$A$45:$H$45,0))*고양시_Modal_split!H$6 * 0.01</f>
        <v>1.4600131467743489E-2</v>
      </c>
      <c r="BI51" s="207">
        <f>INDEX($A$45:$H$57,MATCH($L51,$B$45:$B$57,0),MATCH($BC$44,$A$45:$H$45,0))*고양시_Modal_split!I$6 * 0.01</f>
        <v>9.7334209784956591E-3</v>
      </c>
      <c r="BJ51" s="207">
        <f>INDEX($A$45:$H$57,MATCH($L51,$B$45:$B$57,0),MATCH($BC$44,$A$45:$H$45,0))*고양시_Modal_split!J$6 * 0.01</f>
        <v>1.3582796506714279E-2</v>
      </c>
      <c r="BK51" s="207">
        <f>INDEX($A$45:$H$57,MATCH($L51,$B$45:$B$57,0),MATCH($BC$44,$A$45:$H$45,0))*고양시_Modal_split!K$6 * 0.01</f>
        <v>0</v>
      </c>
      <c r="BL51" s="207">
        <f>INDEX($A$45:$H$57,MATCH($L51,$B$45:$B$57,0),MATCH($BC$44,$A$45:$H$45,0))*고양시_Modal_split!L$6 * 0.01</f>
        <v>2.0896610010329663E-3</v>
      </c>
      <c r="BM51" s="207">
        <f>INDEX($A$45:$H$57,MATCH($L51,$B$45:$B$57,0),MATCH($BC$44,$A$45:$H$45,0))*고양시_Modal_split!M$6 * 0.01</f>
        <v>2.5020940933421043E-3</v>
      </c>
      <c r="BN51" s="207">
        <f>INDEX($A$45:$H$57,MATCH($L51,$B$45:$B$57,0),MATCH($BC$44,$A$45:$H$45,0))*고양시_Modal_split!N$6 * 0.01</f>
        <v>0</v>
      </c>
      <c r="BO51" s="207">
        <f>INDEX($A$45:$H$57,MATCH($L51,$B$45:$B$57,0),MATCH($BC$44,$A$45:$H$45,0))*고양시_Modal_split!O$6 * 0.01</f>
        <v>2.1996431589820699E-4</v>
      </c>
      <c r="BP51" s="214">
        <f>INDEX($A$45:$H$57,MATCH($L51,$B$45:$B$57,0),MATCH($BC$44,$A$45:$H$45,0))*고양시_Modal_split!P$6 * 0.01</f>
        <v>0.27495539487275872</v>
      </c>
      <c r="BQ51" s="213">
        <f>INDEX($A$45:$H$57,MATCH($L51,$B$45:$B$57,0),MATCH($BQ$44,$A$45:$H$45,0))*고양시_Modal_split!C$7 * 0.01</f>
        <v>0</v>
      </c>
      <c r="BR51" s="207">
        <f>INDEX($A$45:$H$57,MATCH($L51,$B$45:$B$57,0),MATCH($BQ$44,$A$45:$H$45,0))*고양시_Modal_split!D$7 * 0.01</f>
        <v>0.47739588693773949</v>
      </c>
      <c r="BS51" s="207">
        <f>INDEX($A$45:$H$57,MATCH($L51,$B$45:$B$57,0),MATCH($BQ$44,$A$45:$H$45,0))*고양시_Modal_split!E$7 * 0.01</f>
        <v>2.3293304535637091E-2</v>
      </c>
      <c r="BT51" s="207">
        <f>INDEX($A$45:$H$57,MATCH($L51,$B$45:$B$57,0),MATCH($BQ$44,$A$45:$H$45,0))*고양시_Modal_split!F$7 * 0.01</f>
        <v>7.7904028547281243E-3</v>
      </c>
      <c r="BU51" s="207">
        <f>INDEX($A$45:$H$57,MATCH($L51,$B$45:$B$57,0),MATCH($BQ$44,$A$45:$H$45,0))*고양시_Modal_split!G$7 * 0.01</f>
        <v>3.2719691989858126E-3</v>
      </c>
      <c r="BV51" s="207">
        <f>INDEX($A$45:$H$57,MATCH($L51,$B$45:$B$57,0),MATCH($BQ$44,$A$45:$H$45,0))*고양시_Modal_split!H$7 * 0.01</f>
        <v>4.3548351957930213E-2</v>
      </c>
      <c r="BW51" s="207">
        <f>INDEX($A$45:$H$57,MATCH($L51,$B$45:$B$57,0),MATCH($BQ$44,$A$45:$H$45,0))*고양시_Modal_split!I$7 * 0.01</f>
        <v>0.14544682129777411</v>
      </c>
      <c r="BX51" s="207">
        <f>INDEX($A$45:$H$57,MATCH($L51,$B$45:$B$57,0),MATCH($BQ$44,$A$45:$H$45,0))*고양시_Modal_split!J$7 * 0.01</f>
        <v>1.5580805709456249E-4</v>
      </c>
      <c r="BY51" s="207">
        <f>INDEX($A$45:$H$57,MATCH($L51,$B$45:$B$57,0),MATCH($BQ$44,$A$45:$H$45,0))*고양시_Modal_split!K$7 * 0.01</f>
        <v>5.998610198140656E-2</v>
      </c>
      <c r="BZ51" s="207">
        <f>INDEX($A$45:$H$57,MATCH($L51,$B$45:$B$57,0),MATCH($BQ$44,$A$45:$H$45,0))*고양시_Modal_split!L$7 * 0.01</f>
        <v>5.453281998309687E-4</v>
      </c>
      <c r="CA51" s="207">
        <f>INDEX($A$45:$H$57,MATCH($L51,$B$45:$B$57,0),MATCH($BQ$44,$A$45:$H$45,0))*고양시_Modal_split!M$7 * 0.01</f>
        <v>1.4568053338341594E-2</v>
      </c>
      <c r="CB51" s="207">
        <f>INDEX($A$45:$H$57,MATCH($L51,$B$45:$B$57,0),MATCH($BQ$44,$A$45:$H$45,0))*고양시_Modal_split!N$7 * 0.01</f>
        <v>3.0382571133439687E-3</v>
      </c>
      <c r="CC51" s="207">
        <f>INDEX($A$45:$H$57,MATCH($L51,$B$45:$B$57,0),MATCH($BQ$44,$A$45:$H$45,0))*고양시_Modal_split!O$7 * 0.01</f>
        <v>0</v>
      </c>
      <c r="CD51" s="214">
        <f>INDEX($A$45:$H$57,MATCH($L51,$B$45:$B$57,0),MATCH($BQ$44,$A$45:$H$45,0))*고양시_Modal_split!P$7 * 0.01</f>
        <v>0.77904028547281245</v>
      </c>
      <c r="CE51" s="218">
        <f t="shared" si="22"/>
        <v>697.16895761104377</v>
      </c>
      <c r="CF51" s="208">
        <f t="shared" si="5"/>
        <v>946.91441179453466</v>
      </c>
      <c r="CG51" s="208">
        <f t="shared" si="6"/>
        <v>204.47983393745892</v>
      </c>
      <c r="CH51" s="208">
        <f t="shared" si="7"/>
        <v>50.844774532819926</v>
      </c>
      <c r="CI51" s="208">
        <f t="shared" si="8"/>
        <v>271.22305639966208</v>
      </c>
      <c r="CJ51" s="208">
        <f t="shared" si="9"/>
        <v>0.15853698938867475</v>
      </c>
      <c r="CK51" s="208">
        <f t="shared" si="10"/>
        <v>90.74273847309604</v>
      </c>
      <c r="CL51" s="208">
        <f t="shared" si="11"/>
        <v>203.64863003098864</v>
      </c>
      <c r="CM51" s="208">
        <f t="shared" si="12"/>
        <v>0.52149873227532972</v>
      </c>
      <c r="CN51" s="208">
        <f t="shared" si="13"/>
        <v>117.14946834444549</v>
      </c>
      <c r="CO51" s="208">
        <f t="shared" si="14"/>
        <v>16.69852001126867</v>
      </c>
      <c r="CP51" s="208">
        <f t="shared" si="15"/>
        <v>57.654551263029425</v>
      </c>
      <c r="CQ51" s="208">
        <f t="shared" si="16"/>
        <v>26.795021879988742</v>
      </c>
      <c r="CR51" s="219">
        <f t="shared" si="17"/>
        <v>2684.0000000000005</v>
      </c>
      <c r="CS51" s="225">
        <f t="shared" si="23"/>
        <v>0</v>
      </c>
      <c r="CV51" s="265"/>
      <c r="CW51" s="266" t="s">
        <v>17</v>
      </c>
      <c r="CX51" s="267">
        <f>INDEX($M$44:$Z$57,MATCH($CW51,$L$44:$L$57,0),MATCH(CX$45,$M$45:$Z$45,0))/INDEX(고양시_재차인원!$D$4:$H$35,MATCH("고양시",고양시_재차인원!$B$4:$B$35,0),MATCH('A.일산테크노밸리(859991)_수정'!$CX$44,고양시_재차인원!$D$4:$H$4,0))</f>
        <v>123.5194436097283</v>
      </c>
      <c r="CY51" s="267">
        <f>INDEX($M$44:$Z$57,MATCH($CW51,$L$44:$L$57,0),MATCH(CY$45,$M$45:$Z$45,0))/INDEX(고양시_재차인원!$K$4:$O$20,MATCH("경기도",고양시_재차인원!$K$4:$K$20,0),MATCH('A.일산테크노밸리(859991)_수정'!CY$45,고양시_재차인원!$K$4:$O$4,0))</f>
        <v>1.021731318564449E-3</v>
      </c>
      <c r="CZ51" s="267">
        <f>INDEX($M$44:$Z$57,MATCH($CW51,$L$44:$L$57,0),MATCH(CZ$45,$M$45:$Z$45,0))/INDEX(고양시_재차인원!$K$4:$O$20,MATCH("경기도",고양시_재차인원!$K$4:$K$20,0),MATCH('A.일산테크노밸리(859991)_수정'!CZ$45,고양시_재차인원!$K$4:$O$4,0))</f>
        <v>0.28404130656091686</v>
      </c>
      <c r="DA51" s="267">
        <f>INDEX($M$44:$Z$57,MATCH($CW51,$L$44:$L$57,0),MATCH(DA$45,$M$45:$Z$45,0))/INDEX(고양시_재차인원!$K$4:$O$20,MATCH("경기도",고양시_재차인원!$K$4:$K$20,0),MATCH('A.일산테크노밸리(859991)_수정'!DA$45,고양시_재차인원!$K$4:$O$4,0))</f>
        <v>5.9223497918427244</v>
      </c>
      <c r="DB51" s="268">
        <f>INDEX($AA$44:$AN$57,MATCH($CW51,$L$44:$L$57,0),MATCH(DB$45,$AA$45:$AN$45,0))/INDEX(고양시_재차인원!$D$4:$H$35,MATCH("고양시",고양시_재차인원!$B$4:$B$35,0),MATCH('A.일산테크노밸리(859991)_수정'!$DB$44,고양시_재차인원!$D$4:$H$4,0))</f>
        <v>520.26177425509968</v>
      </c>
      <c r="DC51" s="267">
        <f>INDEX($AA$44:$AN$57,MATCH($CW51,$L$44:$L$57,0),MATCH(DC$45,$AA$45:$AN$45,0))/INDEX(고양시_재차인원!$K$4:$O$20,MATCH("경기도",고양시_재차인원!$K$4:$K$20,0),MATCH('A.일산테크노밸리(859991)_수정'!DC$45,고양시_재차인원!$K$4:$O$4,0))</f>
        <v>0</v>
      </c>
      <c r="DD51" s="267">
        <f>INDEX($AA$44:$AN$57,MATCH($CW51,$L$44:$L$57,0),MATCH(DD$45,$AA$45:$AN$45,0))/INDEX(고양시_재차인원!$K$4:$O$20,MATCH("경기도",고양시_재차인원!$K$4:$K$20,0),MATCH('A.일산테크노밸리(859991)_수정'!DD$45,고양시_재차인원!$K$4:$O$4,0))</f>
        <v>2.7649014068575051</v>
      </c>
      <c r="DE51" s="267">
        <f>INDEX($AA$44:$AN$57,MATCH($CW51,$L$44:$L$57,0),MATCH(DE$45,$AA$45:$AN$45,0))/INDEX(고양시_재차인원!$K$4:$O$20,MATCH("경기도",고양시_재차인원!$K$4:$K$20,0),MATCH('A.일산테크노밸리(859991)_수정'!DE$45,고양시_재차인원!$K$4:$O$4,0))</f>
        <v>70.451912480045095</v>
      </c>
      <c r="DF51" s="268">
        <f>INDEX($AO$44:$BB$57,MATCH($CW51,$L$44:$L$57,0),MATCH(DF$45,$AO$45:$BB$45,0))/INDEX(고양시_재차인원!$D$4:$H$35,MATCH("고양시",고양시_재차인원!$B$4:$B$35,0),MATCH('A.일산테크노밸리(859991)_수정'!$DF$44,고양시_재차인원!$D$4:$H$4,0))</f>
        <v>57.152651386551227</v>
      </c>
      <c r="DG51" s="267">
        <f>INDEX($AO$44:$BB$57,MATCH($CW51,$L$44:$L$57,0),MATCH(DG$45,$AO$45:$BB$45,0))/INDEX(고양시_재차인원!$K$4:$O$20,MATCH("경기도",고양시_재차인원!$K$4:$K$20,0),MATCH('A.일산테크노밸리(859991)_수정'!DG$45,고양시_재차인원!$K$4:$O$4,0))</f>
        <v>2.4651914311056124E-3</v>
      </c>
      <c r="DH51" s="267">
        <f>INDEX($AO$44:$BB$57,MATCH($CW51,$L$44:$L$57,0),MATCH(DH$45,$AO$45:$BB$45,0))/INDEX(고양시_재차인원!$K$4:$O$20,MATCH("경기도",고양시_재차인원!$K$4:$K$20,0),MATCH('A.일산테크노밸리(859991)_수정'!DH$45,고양시_재차인원!$K$4:$O$4,0))</f>
        <v>9.7551146630893523E-2</v>
      </c>
      <c r="DI51" s="267">
        <f>INDEX($AO$44:$BB$57,MATCH($CW51,$L$44:$L$57,0),MATCH(DI$45,$AO$45:$BB$45,0))/INDEX(고양시_재차인원!$K$4:$O$20,MATCH("경기도",고양시_재차인원!$K$4:$K$20,0),MATCH('A.일산테크노밸리(859991)_수정'!DI$45,고양시_재차인원!$K$4:$O$4,0))</f>
        <v>1.7236266316085997</v>
      </c>
      <c r="DJ51" s="268">
        <f>INDEX($BC$44:$BP$57,MATCH($CW51,$L$44:$L$57,0),MATCH(DJ$45,$BC$45:$BP$45,0))/INDEX(고양시_재차인원!$D$4:$H$35,MATCH("고양시",고양시_재차인원!$B$4:$B$35,0),MATCH('A.일산테크노밸리(859991)_수정'!$DJ$44,고양시_재차인원!$D$4:$H$4,0))</f>
        <v>0.1674195312456849</v>
      </c>
      <c r="DK51" s="267">
        <f>INDEX($BC$44:$BP$57,MATCH($CW51,$L$44:$L$57,0),MATCH(DK$45,$BC$45:$BP$45,0))/INDEX(고양시_재차인원!$K$4:$O$20,MATCH("경기도",고양시_재차인원!$K$4:$K$20,0),MATCH('A.일산테크노밸리(859991)_수정'!DK$45,고양시_재차인원!$K$4:$O$4,0))</f>
        <v>5.0712509439887075E-4</v>
      </c>
      <c r="DL51" s="267">
        <f>INDEX($BC$44:$BP$57,MATCH($CW51,$L$44:$L$57,0),MATCH(DL$45,$BC$45:$BP$45,0))/INDEX(고양시_재차인원!$K$4:$O$20,MATCH("경기도",고양시_재차인원!$K$4:$K$20,0),MATCH('A.일산테크노밸리(859991)_수정'!DL$45,고양시_재차인원!$K$4:$O$4,0))</f>
        <v>3.3808339626591384E-4</v>
      </c>
      <c r="DM51" s="267">
        <f>INDEX($BC$44:$BP$57,MATCH($CW51,$L$44:$L$57,0),MATCH(DM$45,$BC$45:$BP$45,0))/INDEX(고양시_재차인원!$K$4:$O$20,MATCH("경기도",고양시_재차인원!$K$4:$K$20,0),MATCH('A.일산테크노밸리(859991)_수정'!DM$45,고양시_재차인원!$K$4:$O$4,0))</f>
        <v>1.3931073340219776E-3</v>
      </c>
      <c r="DN51" s="268">
        <f>INDEX($BQ$44:$CD$57,MATCH($CW51,$L$44:$L$57,0),MATCH(DN$45,$BQ$45:$CD$45,0))/INDEX(고양시_재차인원!$D$4:$H$35,MATCH("고양시",고양시_재차인원!$B$4:$B$35,0),MATCH('A.일산테크노밸리(859991)_수정'!$DN$44,고양시_재차인원!$D$4:$H$4,0))</f>
        <v>0.37888562455376151</v>
      </c>
      <c r="DO51" s="267">
        <f>INDEX($BQ$44:$CD$57,MATCH($CW51,$L$44:$L$57,0),MATCH(DO$45,$BQ$45:$CD$45,0))/INDEX(고양시_재차인원!$K$4:$O$20,MATCH("경기도",고양시_재차인원!$K$4:$K$20,0),MATCH('A.일산테크노밸리(859991)_수정'!DO$45,고양시_재차인원!$K$4:$O$4,0))</f>
        <v>1.5126207696398129E-3</v>
      </c>
      <c r="DP51" s="267">
        <f>INDEX($BQ$44:$CD$57,MATCH($CW51,$L$44:$L$57,0),MATCH(DP$45,$BQ$45:$CD$45,0))/INDEX(고양시_재차인원!$K$4:$O$20,MATCH("경기도",고양시_재차인원!$K$4:$K$20,0),MATCH('A.일산테크노밸리(859991)_수정'!DP$45,고양시_재차인원!$K$4:$O$4,0))</f>
        <v>5.0519910141637418E-3</v>
      </c>
      <c r="DQ51" s="267">
        <f>INDEX($BQ$44:$CD$57,MATCH($CW51,$L$44:$L$57,0),MATCH(DQ$45,$BQ$45:$CD$45,0))/INDEX(고양시_재차인원!$K$4:$O$20,MATCH("경기도",고양시_재차인원!$K$4:$K$20,0),MATCH('A.일산테크노밸리(859991)_수정'!DQ$45,고양시_재차인원!$K$4:$O$4,0))</f>
        <v>3.6355213322064578E-4</v>
      </c>
      <c r="DR51" s="269">
        <f t="shared" si="24"/>
        <v>701.48017440717877</v>
      </c>
      <c r="DS51" s="270">
        <f t="shared" si="18"/>
        <v>5.5066686137087446E-3</v>
      </c>
      <c r="DT51" s="270">
        <f t="shared" si="19"/>
        <v>3.1518839344597449</v>
      </c>
      <c r="DU51" s="270">
        <f t="shared" si="20"/>
        <v>78.099645562963659</v>
      </c>
      <c r="DW51" s="278"/>
      <c r="DX51" s="278" t="s">
        <v>594</v>
      </c>
      <c r="DY51" s="281">
        <f t="shared" si="25"/>
        <v>779.57981997014247</v>
      </c>
      <c r="DZ51" s="281">
        <f t="shared" si="26"/>
        <v>3.1573906030734538</v>
      </c>
      <c r="EC51" s="412" t="s">
        <v>15</v>
      </c>
      <c r="ED51" s="412" t="s">
        <v>571</v>
      </c>
      <c r="EE51" s="412">
        <v>24085.599100000003</v>
      </c>
      <c r="EF51" s="412">
        <v>0.11186292027724311</v>
      </c>
      <c r="EG51" s="413">
        <v>859006</v>
      </c>
      <c r="EH51" s="414">
        <f t="shared" si="27"/>
        <v>824.04771438175385</v>
      </c>
      <c r="EI51" s="415">
        <f t="shared" si="28"/>
        <v>3.3374908421471927</v>
      </c>
      <c r="EJ51" s="402">
        <v>0</v>
      </c>
      <c r="EM51" s="278" t="s">
        <v>15</v>
      </c>
      <c r="EN51" s="278" t="s">
        <v>571</v>
      </c>
      <c r="EO51" s="278">
        <v>24085.599100000003</v>
      </c>
      <c r="EP51" s="278">
        <v>0.11186292027724311</v>
      </c>
      <c r="EQ51" s="289">
        <v>859006</v>
      </c>
      <c r="ER51" s="290">
        <f t="shared" si="29"/>
        <v>824.04771438175385</v>
      </c>
      <c r="ES51" s="291">
        <f t="shared" si="21"/>
        <v>3.3374908421471927</v>
      </c>
      <c r="ET51" s="402">
        <v>0</v>
      </c>
      <c r="EV51" s="34"/>
      <c r="EW51" s="34"/>
      <c r="EX51" s="34"/>
      <c r="EY51" s="34"/>
      <c r="EZ51" s="378"/>
      <c r="FA51" s="401"/>
      <c r="FB51" s="402"/>
      <c r="FC51" s="402"/>
    </row>
    <row r="52" spans="1:159" ht="27" customHeight="1">
      <c r="A52" s="205" t="s">
        <v>492</v>
      </c>
      <c r="B52" s="203" t="s">
        <v>485</v>
      </c>
      <c r="C52" s="400">
        <f>'A.일산테크노밸리(859991)_수정'!$P35*KTDB_TripDistribution_2025!L$12</f>
        <v>87.238648101827522</v>
      </c>
      <c r="D52" s="400">
        <f>'A.일산테크노밸리(859991)_수정'!$P35*KTDB_TripDistribution_2025!M$12</f>
        <v>678.37936127165187</v>
      </c>
      <c r="E52" s="400">
        <f>'A.일산테크노밸리(859991)_수정'!$P35*KTDB_TripDistribution_2025!N$12</f>
        <v>30.069404724301865</v>
      </c>
      <c r="F52" s="400">
        <f>'A.일산테크노밸리(859991)_수정'!$P35*KTDB_TripDistribution_2025!O$12</f>
        <v>8.1544148404886704E-2</v>
      </c>
      <c r="G52" s="400">
        <f>'A.일산테크노밸리(859991)_수정'!$P35*KTDB_TripDistribution_2025!P$12</f>
        <v>0.23104175381384454</v>
      </c>
      <c r="H52" s="400">
        <f>'A.일산테크노밸리(859991)_수정'!$P35*KTDB_TripDistribution_2025!Q$12</f>
        <v>796</v>
      </c>
      <c r="J52" s="230">
        <f t="shared" si="4"/>
        <v>796</v>
      </c>
      <c r="K52" s="206" t="s">
        <v>433</v>
      </c>
      <c r="L52" s="210" t="s">
        <v>486</v>
      </c>
      <c r="M52" s="213">
        <f>INDEX($A$45:$H$57,MATCH($L52,$B$45:$B$57,0),MATCH($M$44,$A$45:$H$45,0))*고양시_Modal_split!C$3 * 0.01</f>
        <v>0.24426821468511706</v>
      </c>
      <c r="N52" s="207">
        <f>INDEX($A$45:$H$57,MATCH($L52,$B$45:$B$57,0),MATCH($M$44,$A$45:$H$45,0))*고양시_Modal_split!D$3 * 0.01</f>
        <v>41.028336202289488</v>
      </c>
      <c r="O52" s="207">
        <f>INDEX($A$45:$H$57,MATCH($L52,$B$45:$B$57,0),MATCH($M$44,$A$45:$H$45,0))*고양시_Modal_split!E$3 * 0.01</f>
        <v>4.9638790769939858</v>
      </c>
      <c r="P52" s="207">
        <f>INDEX($A$45:$H$57,MATCH($L52,$B$45:$B$57,0),MATCH($M$44,$A$45:$H$45,0))*고양시_Modal_split!F$3 * 0.01</f>
        <v>7.9997840309375841</v>
      </c>
      <c r="Q52" s="207">
        <f>INDEX($A$45:$H$57,MATCH($L52,$B$45:$B$57,0),MATCH($M$44,$A$45:$H$45,0))*고양시_Modal_split!G$3 * 0.01</f>
        <v>0.80259556253681308</v>
      </c>
      <c r="R52" s="207">
        <f>INDEX($A$45:$H$57,MATCH($L52,$B$45:$B$57,0),MATCH($M$44,$A$45:$H$45,0))*고양시_Modal_split!H$3 * 0.01</f>
        <v>8.7238648101827521E-3</v>
      </c>
      <c r="S52" s="207">
        <f>INDEX($A$45:$H$57,MATCH($L52,$B$45:$B$57,0),MATCH($M$44,$A$45:$H$45,0))*고양시_Modal_split!I$3 * 0.01</f>
        <v>2.4252344172308047</v>
      </c>
      <c r="T52" s="207">
        <f>INDEX($A$45:$H$57,MATCH($L52,$B$45:$B$57,0),MATCH($M$44,$A$45:$H$45,0))*고양시_Modal_split!J$3 * 0.01</f>
        <v>26.5554444821963</v>
      </c>
      <c r="U52" s="207">
        <f>INDEX($A$45:$H$57,MATCH($L52,$B$45:$B$57,0),MATCH($M$44,$A$45:$H$45,0))*고양시_Modal_split!K$3 * 0.01</f>
        <v>0.13085797215274128</v>
      </c>
      <c r="V52" s="207">
        <f>INDEX($A$45:$H$57,MATCH($L52,$B$45:$B$57,0),MATCH($M$44,$A$45:$H$45,0))*고양시_Modal_split!L$3 * 0.01</f>
        <v>2.634607172675191</v>
      </c>
      <c r="W52" s="207">
        <f>INDEX($A$45:$H$57,MATCH($L52,$B$45:$B$57,0),MATCH($M$44,$A$45:$H$45,0))*고양시_Modal_split!M$3 * 0.01</f>
        <v>0.20064889063420327</v>
      </c>
      <c r="X52" s="207">
        <f>INDEX($A$45:$H$57,MATCH($L52,$B$45:$B$57,0),MATCH($M$44,$A$45:$H$45,0))*고양시_Modal_split!N$3 * 0.01</f>
        <v>8.7238648101827521E-2</v>
      </c>
      <c r="Y52" s="207">
        <f>INDEX($A$45:$H$57,MATCH($L52,$B$45:$B$57,0),MATCH($M$44,$A$45:$H$45,0))*고양시_Modal_split!O$3 * 0.01</f>
        <v>0.15702956658328954</v>
      </c>
      <c r="Z52" s="214">
        <f>INDEX($A$45:$H$57,MATCH($L52,$B$45:$B$57,0),MATCH($M$44,$A$45:$H$45,0))*고양시_Modal_split!P$3 * 0.01</f>
        <v>87.238648101827536</v>
      </c>
      <c r="AA52" s="213">
        <f>INDEX($A$45:$H$57,MATCH($L52,$B$45:$B$57,0),MATCH($AA$44,$A$45:$H$45,0))*고양시_Modal_split!C$4 * 0.01</f>
        <v>206.49867757109087</v>
      </c>
      <c r="AB52" s="207">
        <f>INDEX($A$45:$H$57,MATCH($L52,$B$45:$B$57,0),MATCH($AA$44,$A$45:$H$45,0))*고양시_Modal_split!D$4 * 0.01</f>
        <v>217.55626115981875</v>
      </c>
      <c r="AC52" s="207">
        <f>INDEX($A$45:$H$57,MATCH($L52,$B$45:$B$57,0),MATCH($AA$44,$A$45:$H$45,0))*고양시_Modal_split!E$4 * 0.01</f>
        <v>52.710076370807357</v>
      </c>
      <c r="AD52" s="207">
        <f>INDEX($A$45:$H$57,MATCH($L52,$B$45:$B$57,0),MATCH($AA$44,$A$45:$H$45,0))*고양시_Modal_split!F$4 * 0.01</f>
        <v>6.4446039320806925</v>
      </c>
      <c r="AE52" s="207">
        <f>INDEX($A$45:$H$57,MATCH($L52,$B$45:$B$57,0),MATCH($AA$44,$A$45:$H$45,0))*고양시_Modal_split!G$4 * 0.01</f>
        <v>79.438223204910429</v>
      </c>
      <c r="AF52" s="207">
        <f>INDEX($A$45:$H$57,MATCH($L52,$B$45:$B$57,0),MATCH($AA$44,$A$45:$H$45,0))*고양시_Modal_split!H$4 * 0.01</f>
        <v>0</v>
      </c>
      <c r="AG52" s="207">
        <f>INDEX($A$45:$H$57,MATCH($L52,$B$45:$B$57,0),MATCH($AA$44,$A$45:$H$45,0))*고양시_Modal_split!I$4 * 0.01</f>
        <v>23.607601772253485</v>
      </c>
      <c r="AH52" s="207">
        <f>INDEX($A$45:$H$57,MATCH($L52,$B$45:$B$57,0),MATCH($AA$44,$A$45:$H$45,0))*고양시_Modal_split!J$4 * 0.01</f>
        <v>31.951667915894806</v>
      </c>
      <c r="AI52" s="207">
        <f>INDEX($A$45:$H$57,MATCH($L52,$B$45:$B$57,0),MATCH($AA$44,$A$45:$H$45,0))*고양시_Modal_split!K$4 * 0.01</f>
        <v>0</v>
      </c>
      <c r="AJ52" s="207">
        <f>INDEX($A$45:$H$57,MATCH($L52,$B$45:$B$57,0),MATCH($AA$44,$A$45:$H$45,0))*고양시_Modal_split!L$4 * 0.01</f>
        <v>31.341126490750316</v>
      </c>
      <c r="AK52" s="207">
        <f>INDEX($A$45:$H$57,MATCH($L52,$B$45:$B$57,0),MATCH($AA$44,$A$45:$H$45,0))*고양시_Modal_split!M$4 * 0.01</f>
        <v>4.5451417205200677</v>
      </c>
      <c r="AL52" s="207">
        <f>INDEX($A$45:$H$57,MATCH($L52,$B$45:$B$57,0),MATCH($AA$44,$A$45:$H$45,0))*고양시_Modal_split!N$4 * 0.01</f>
        <v>16.959484031791298</v>
      </c>
      <c r="AM52" s="207">
        <f>INDEX($A$45:$H$57,MATCH($L52,$B$45:$B$57,0),MATCH($AA$44,$A$45:$H$45,0))*고양시_Modal_split!O$4 * 0.01</f>
        <v>7.3264971017338407</v>
      </c>
      <c r="AN52" s="214">
        <f>INDEX($A$45:$H$57,MATCH($L52,$B$45:$B$57,0),MATCH($AA$44,$A$45:$H$45,0))*고양시_Modal_split!P$4 * 0.01</f>
        <v>678.37936127165187</v>
      </c>
      <c r="AO52" s="213">
        <f>INDEX($A$45:$H$57,MATCH($L52,$B$45:$B$57,0),MATCH($AO$44,$A$45:$H$45,0))*고양시_Modal_split!C$5 * 0.01</f>
        <v>1.804164283458112E-2</v>
      </c>
      <c r="AP52" s="207">
        <f>INDEX($A$45:$H$57,MATCH($L52,$B$45:$B$57,0),MATCH($AO$44,$A$45:$H$45,0))*고양시_Modal_split!D$5 * 0.01</f>
        <v>22.034859781968407</v>
      </c>
      <c r="AQ52" s="207">
        <f>INDEX($A$45:$H$57,MATCH($L52,$B$45:$B$57,0),MATCH($AO$44,$A$45:$H$45,0))*고양시_Modal_split!E$5 * 0.01</f>
        <v>2.9618363653437338</v>
      </c>
      <c r="AR52" s="207">
        <f>INDEX($A$45:$H$57,MATCH($L52,$B$45:$B$57,0),MATCH($AO$44,$A$45:$H$45,0))*고양시_Modal_split!F$5 * 0.01</f>
        <v>0.63145749921033922</v>
      </c>
      <c r="AS52" s="207">
        <f>INDEX($A$45:$H$57,MATCH($L52,$B$45:$B$57,0),MATCH($AO$44,$A$45:$H$45,0))*고양시_Modal_split!G$5 * 0.01</f>
        <v>0.19545113070796213</v>
      </c>
      <c r="AT52" s="207">
        <f>INDEX($A$45:$H$57,MATCH($L52,$B$45:$B$57,0),MATCH($AO$44,$A$45:$H$45,0))*고양시_Modal_split!H$5 * 0.01</f>
        <v>2.1048583307011301E-2</v>
      </c>
      <c r="AU52" s="207">
        <f>INDEX($A$45:$H$57,MATCH($L52,$B$45:$B$57,0),MATCH($AO$44,$A$45:$H$45,0))*고양시_Modal_split!I$5 * 0.01</f>
        <v>0.83292251086316171</v>
      </c>
      <c r="AV52" s="207">
        <f>INDEX($A$45:$H$57,MATCH($L52,$B$45:$B$57,0),MATCH($AO$44,$A$45:$H$45,0))*고양시_Modal_split!J$5 * 0.01</f>
        <v>1.8853516762137272</v>
      </c>
      <c r="AW52" s="207">
        <f>INDEX($A$45:$H$57,MATCH($L52,$B$45:$B$57,0),MATCH($AO$44,$A$45:$H$45,0))*고양시_Modal_split!K$5 * 0.01</f>
        <v>6.0138809448603741E-3</v>
      </c>
      <c r="AX52" s="207">
        <f>INDEX($A$45:$H$57,MATCH($L52,$B$45:$B$57,0),MATCH($AO$44,$A$45:$H$45,0))*고양시_Modal_split!L$5 * 0.01</f>
        <v>0.76676982046969755</v>
      </c>
      <c r="AY52" s="207">
        <f>INDEX($A$45:$H$57,MATCH($L52,$B$45:$B$57,0),MATCH($AO$44,$A$45:$H$45,0))*고양시_Modal_split!M$5 * 0.01</f>
        <v>0.20146501165282252</v>
      </c>
      <c r="AZ52" s="207">
        <f>INDEX($A$45:$H$57,MATCH($L52,$B$45:$B$57,0),MATCH($AO$44,$A$45:$H$45,0))*고양시_Modal_split!N$5 * 0.01</f>
        <v>5.1117988031313163E-2</v>
      </c>
      <c r="BA52" s="207">
        <f>INDEX($A$45:$H$57,MATCH($L52,$B$45:$B$57,0),MATCH($AO$44,$A$45:$H$45,0))*고양시_Modal_split!O$5 * 0.01</f>
        <v>0.46306883275424876</v>
      </c>
      <c r="BB52" s="214">
        <f>INDEX($A$45:$H$57,MATCH($L52,$B$45:$B$57,0),MATCH($AO$44,$A$45:$H$45,0))*고양시_Modal_split!P$5 * 0.01</f>
        <v>30.069404724301862</v>
      </c>
      <c r="BC52" s="213">
        <f>INDEX($A$45:$H$57,MATCH($L52,$B$45:$B$57,0),MATCH($BC$44,$A$45:$H$45,0))*고양시_Modal_split!C$6 * 0.01</f>
        <v>0</v>
      </c>
      <c r="BD52" s="207">
        <f>INDEX($A$45:$H$57,MATCH($L52,$B$45:$B$57,0),MATCH($BC$44,$A$45:$H$45,0))*고양시_Modal_split!D$6 * 0.01</f>
        <v>6.7526709294086662E-2</v>
      </c>
      <c r="BE52" s="207">
        <f>INDEX($A$45:$H$57,MATCH($L52,$B$45:$B$57,0),MATCH($BC$44,$A$45:$H$45,0))*고양시_Modal_split!E$6 * 0.01</f>
        <v>3.5063983814101279E-4</v>
      </c>
      <c r="BF52" s="207">
        <f>INDEX($A$45:$H$57,MATCH($L52,$B$45:$B$57,0),MATCH($BC$44,$A$45:$H$45,0))*고양시_Modal_split!F$6 * 0.01</f>
        <v>9.9483861053961784E-4</v>
      </c>
      <c r="BG52" s="207">
        <f>INDEX($A$45:$H$57,MATCH($L52,$B$45:$B$57,0),MATCH($BC$44,$A$45:$H$45,0))*고양시_Modal_split!G$6 * 0.01</f>
        <v>0</v>
      </c>
      <c r="BH52" s="207">
        <f>INDEX($A$45:$H$57,MATCH($L52,$B$45:$B$57,0),MATCH($BC$44,$A$45:$H$45,0))*고양시_Modal_split!H$6 * 0.01</f>
        <v>4.3299942802994843E-3</v>
      </c>
      <c r="BI52" s="207">
        <f>INDEX($A$45:$H$57,MATCH($L52,$B$45:$B$57,0),MATCH($BC$44,$A$45:$H$45,0))*고양시_Modal_split!I$6 * 0.01</f>
        <v>2.886662853532989E-3</v>
      </c>
      <c r="BJ52" s="207">
        <f>INDEX($A$45:$H$57,MATCH($L52,$B$45:$B$57,0),MATCH($BC$44,$A$45:$H$45,0))*고양시_Modal_split!J$6 * 0.01</f>
        <v>4.0282809312014028E-3</v>
      </c>
      <c r="BK52" s="207">
        <f>INDEX($A$45:$H$57,MATCH($L52,$B$45:$B$57,0),MATCH($BC$44,$A$45:$H$45,0))*고양시_Modal_split!K$6 * 0.01</f>
        <v>0</v>
      </c>
      <c r="BL52" s="207">
        <f>INDEX($A$45:$H$57,MATCH($L52,$B$45:$B$57,0),MATCH($BC$44,$A$45:$H$45,0))*고양시_Modal_split!L$6 * 0.01</f>
        <v>6.1973552787713897E-4</v>
      </c>
      <c r="BM52" s="207">
        <f>INDEX($A$45:$H$57,MATCH($L52,$B$45:$B$57,0),MATCH($BC$44,$A$45:$H$45,0))*고양시_Modal_split!M$6 * 0.01</f>
        <v>7.4205175048446903E-4</v>
      </c>
      <c r="BN52" s="207">
        <f>INDEX($A$45:$H$57,MATCH($L52,$B$45:$B$57,0),MATCH($BC$44,$A$45:$H$45,0))*고양시_Modal_split!N$6 * 0.01</f>
        <v>0</v>
      </c>
      <c r="BO52" s="207">
        <f>INDEX($A$45:$H$57,MATCH($L52,$B$45:$B$57,0),MATCH($BC$44,$A$45:$H$45,0))*고양시_Modal_split!O$6 * 0.01</f>
        <v>6.5235318723909361E-5</v>
      </c>
      <c r="BP52" s="214">
        <f>INDEX($A$45:$H$57,MATCH($L52,$B$45:$B$57,0),MATCH($BC$44,$A$45:$H$45,0))*고양시_Modal_split!P$6 * 0.01</f>
        <v>8.1544148404886704E-2</v>
      </c>
      <c r="BQ52" s="213">
        <f>INDEX($A$45:$H$57,MATCH($L52,$B$45:$B$57,0),MATCH($BQ$44,$A$45:$H$45,0))*고양시_Modal_split!C$7 * 0.01</f>
        <v>0</v>
      </c>
      <c r="BR52" s="207">
        <f>INDEX($A$45:$H$57,MATCH($L52,$B$45:$B$57,0),MATCH($BQ$44,$A$45:$H$45,0))*고양시_Modal_split!D$7 * 0.01</f>
        <v>0.14158238673712395</v>
      </c>
      <c r="BS52" s="207">
        <f>INDEX($A$45:$H$57,MATCH($L52,$B$45:$B$57,0),MATCH($BQ$44,$A$45:$H$45,0))*고양시_Modal_split!E$7 * 0.01</f>
        <v>6.9081484390339509E-3</v>
      </c>
      <c r="BT52" s="207">
        <f>INDEX($A$45:$H$57,MATCH($L52,$B$45:$B$57,0),MATCH($BQ$44,$A$45:$H$45,0))*고양시_Modal_split!F$7 * 0.01</f>
        <v>2.3104175381384452E-3</v>
      </c>
      <c r="BU52" s="207">
        <f>INDEX($A$45:$H$57,MATCH($L52,$B$45:$B$57,0),MATCH($BQ$44,$A$45:$H$45,0))*고양시_Modal_split!G$7 * 0.01</f>
        <v>9.703753660181471E-4</v>
      </c>
      <c r="BV52" s="207">
        <f>INDEX($A$45:$H$57,MATCH($L52,$B$45:$B$57,0),MATCH($BQ$44,$A$45:$H$45,0))*고양시_Modal_split!H$7 * 0.01</f>
        <v>1.2915234038193911E-2</v>
      </c>
      <c r="BW52" s="207">
        <f>INDEX($A$45:$H$57,MATCH($L52,$B$45:$B$57,0),MATCH($BQ$44,$A$45:$H$45,0))*고양시_Modal_split!I$7 * 0.01</f>
        <v>4.3135495437044778E-2</v>
      </c>
      <c r="BX52" s="207">
        <f>INDEX($A$45:$H$57,MATCH($L52,$B$45:$B$57,0),MATCH($BQ$44,$A$45:$H$45,0))*고양시_Modal_split!J$7 * 0.01</f>
        <v>4.6208350762768903E-5</v>
      </c>
      <c r="BY52" s="207">
        <f>INDEX($A$45:$H$57,MATCH($L52,$B$45:$B$57,0),MATCH($BQ$44,$A$45:$H$45,0))*고양시_Modal_split!K$7 * 0.01</f>
        <v>1.7790215043666031E-2</v>
      </c>
      <c r="BZ52" s="207">
        <f>INDEX($A$45:$H$57,MATCH($L52,$B$45:$B$57,0),MATCH($BQ$44,$A$45:$H$45,0))*고양시_Modal_split!L$7 * 0.01</f>
        <v>1.6172922766969117E-4</v>
      </c>
      <c r="CA52" s="207">
        <f>INDEX($A$45:$H$57,MATCH($L52,$B$45:$B$57,0),MATCH($BQ$44,$A$45:$H$45,0))*고양시_Modal_split!M$7 * 0.01</f>
        <v>4.3204807963188934E-3</v>
      </c>
      <c r="CB52" s="207">
        <f>INDEX($A$45:$H$57,MATCH($L52,$B$45:$B$57,0),MATCH($BQ$44,$A$45:$H$45,0))*고양시_Modal_split!N$7 * 0.01</f>
        <v>9.010628398739937E-4</v>
      </c>
      <c r="CC52" s="207">
        <f>INDEX($A$45:$H$57,MATCH($L52,$B$45:$B$57,0),MATCH($BQ$44,$A$45:$H$45,0))*고양시_Modal_split!O$7 * 0.01</f>
        <v>0</v>
      </c>
      <c r="CD52" s="214">
        <f>INDEX($A$45:$H$57,MATCH($L52,$B$45:$B$57,0),MATCH($BQ$44,$A$45:$H$45,0))*고양시_Modal_split!P$7 * 0.01</f>
        <v>0.23104175381384454</v>
      </c>
      <c r="CE52" s="218">
        <f t="shared" si="22"/>
        <v>206.76098742861058</v>
      </c>
      <c r="CF52" s="208">
        <f t="shared" si="5"/>
        <v>280.82856624010788</v>
      </c>
      <c r="CG52" s="208">
        <f t="shared" si="6"/>
        <v>60.643050601422246</v>
      </c>
      <c r="CH52" s="208">
        <f t="shared" si="7"/>
        <v>15.079150718377294</v>
      </c>
      <c r="CI52" s="208">
        <f t="shared" si="8"/>
        <v>80.437240273521226</v>
      </c>
      <c r="CJ52" s="208">
        <f t="shared" si="9"/>
        <v>4.7017676435687446E-2</v>
      </c>
      <c r="CK52" s="208">
        <f t="shared" si="10"/>
        <v>26.911780858638032</v>
      </c>
      <c r="CL52" s="208">
        <f t="shared" si="11"/>
        <v>60.396538563586802</v>
      </c>
      <c r="CM52" s="208">
        <f t="shared" si="12"/>
        <v>0.15466206814126771</v>
      </c>
      <c r="CN52" s="208">
        <f t="shared" si="13"/>
        <v>34.743284948650754</v>
      </c>
      <c r="CO52" s="208">
        <f t="shared" si="14"/>
        <v>4.9523181553538969</v>
      </c>
      <c r="CP52" s="208">
        <f t="shared" si="15"/>
        <v>17.09874173076431</v>
      </c>
      <c r="CQ52" s="208">
        <f t="shared" si="16"/>
        <v>7.9466607363901023</v>
      </c>
      <c r="CR52" s="219">
        <f t="shared" si="17"/>
        <v>796</v>
      </c>
      <c r="CS52" s="225">
        <f t="shared" si="23"/>
        <v>0</v>
      </c>
      <c r="CV52" s="265" t="s">
        <v>433</v>
      </c>
      <c r="CW52" s="271" t="s">
        <v>485</v>
      </c>
      <c r="CX52" s="267">
        <f>INDEX($M$44:$Z$57,MATCH($CW52,$L$44:$L$57,0),MATCH(CX$45,$M$45:$Z$45,0))/INDEX(고양시_재차인원!$D$4:$H$35,MATCH("고양시",고양시_재차인원!$B$4:$B$35,0),MATCH('A.일산테크노밸리(859991)_수정'!$CX$44,고양시_재차인원!$D$4:$H$4,0))</f>
        <v>36.63244303775847</v>
      </c>
      <c r="CY52" s="267">
        <f>INDEX($M$44:$Z$57,MATCH($CW52,$L$44:$L$57,0),MATCH(CY$45,$M$45:$Z$45,0))/INDEX(고양시_재차인원!$K$4:$O$20,MATCH("경기도",고양시_재차인원!$K$4:$K$20,0),MATCH('A.일산테크노밸리(859991)_수정'!CY$45,고양시_재차인원!$K$4:$O$4,0))</f>
        <v>3.0301718687678888E-4</v>
      </c>
      <c r="CZ52" s="267">
        <f>INDEX($M$44:$Z$57,MATCH($CW52,$L$44:$L$57,0),MATCH(CZ$45,$M$45:$Z$45,0))/INDEX(고양시_재차인원!$K$4:$O$20,MATCH("경기도",고양시_재차인원!$K$4:$K$20,0),MATCH('A.일산테크노밸리(859991)_수정'!CZ$45,고양시_재차인원!$K$4:$O$4,0))</f>
        <v>8.4238777951747293E-2</v>
      </c>
      <c r="DA52" s="267">
        <f>INDEX($M$44:$Z$57,MATCH($CW52,$L$44:$L$57,0),MATCH(DA$45,$M$45:$Z$45,0))/INDEX(고양시_재차인원!$K$4:$O$20,MATCH("경기도",고양시_재차인원!$K$4:$K$20,0),MATCH('A.일산테크노밸리(859991)_수정'!DA$45,고양시_재차인원!$K$4:$O$4,0))</f>
        <v>1.7564047817834607</v>
      </c>
      <c r="DB52" s="268">
        <f>INDEX($AA$44:$AN$57,MATCH($CW52,$L$44:$L$57,0),MATCH(DB$45,$AA$45:$AN$45,0))/INDEX(고양시_재차인원!$D$4:$H$35,MATCH("고양시",고양시_재차인원!$B$4:$B$35,0),MATCH('A.일산테크노밸리(859991)_수정'!$DB$44,고양시_재차인원!$D$4:$H$4,0))</f>
        <v>154.29522068072254</v>
      </c>
      <c r="DC52" s="267">
        <f>INDEX($AA$44:$AN$57,MATCH($CW52,$L$44:$L$57,0),MATCH(DC$45,$AA$45:$AN$45,0))/INDEX(고양시_재차인원!$K$4:$O$20,MATCH("경기도",고양시_재차인원!$K$4:$K$20,0),MATCH('A.일산테크노밸리(859991)_수정'!DC$45,고양시_재차인원!$K$4:$O$4,0))</f>
        <v>0</v>
      </c>
      <c r="DD52" s="267">
        <f>INDEX($AA$44:$AN$57,MATCH($CW52,$L$44:$L$57,0),MATCH(DD$45,$AA$45:$AN$45,0))/INDEX(고양시_재차인원!$K$4:$O$20,MATCH("경기도",고양시_재차인원!$K$4:$K$20,0),MATCH('A.일산테크노밸리(859991)_수정'!DD$45,고양시_재차인원!$K$4:$O$4,0))</f>
        <v>0.81999311470140623</v>
      </c>
      <c r="DE52" s="267">
        <f>INDEX($AA$44:$AN$57,MATCH($CW52,$L$44:$L$57,0),MATCH(DE$45,$AA$45:$AN$45,0))/INDEX(고양시_재차인원!$K$4:$O$20,MATCH("경기도",고양시_재차인원!$K$4:$K$20,0),MATCH('A.일산테크노밸리(859991)_수정'!DE$45,고양시_재차인원!$K$4:$O$4,0))</f>
        <v>20.894084327166876</v>
      </c>
      <c r="DF52" s="268">
        <f>INDEX($AO$44:$BB$57,MATCH($CW52,$L$44:$L$57,0),MATCH(DF$45,$AO$45:$BB$45,0))/INDEX(고양시_재차인원!$D$4:$H$35,MATCH("고양시",고양시_재차인원!$B$4:$B$35,0),MATCH('A.일산테크노밸리(859991)_수정'!$DF$44,고양시_재차인원!$D$4:$H$4,0))</f>
        <v>16.949892139975699</v>
      </c>
      <c r="DG52" s="267">
        <f>INDEX($AO$44:$BB$57,MATCH($CW52,$L$44:$L$57,0),MATCH(DG$45,$AO$45:$BB$45,0))/INDEX(고양시_재차인원!$K$4:$O$20,MATCH("경기도",고양시_재차인원!$K$4:$K$20,0),MATCH('A.일산테크노밸리(859991)_수정'!DG$45,고양시_재차인원!$K$4:$O$4,0))</f>
        <v>7.3110744380032303E-4</v>
      </c>
      <c r="DH52" s="267">
        <f>INDEX($AO$44:$BB$57,MATCH($CW52,$L$44:$L$57,0),MATCH(DH$45,$AO$45:$BB$45,0))/INDEX(고양시_재차인원!$K$4:$O$20,MATCH("경기도",고양시_재차인원!$K$4:$K$20,0),MATCH('A.일산테크노밸리(859991)_수정'!DH$45,고양시_재차인원!$K$4:$O$4,0))</f>
        <v>2.8930965990384222E-2</v>
      </c>
      <c r="DI52" s="267">
        <f>INDEX($AO$44:$BB$57,MATCH($CW52,$L$44:$L$57,0),MATCH(DI$45,$AO$45:$BB$45,0))/INDEX(고양시_재차인원!$K$4:$O$20,MATCH("경기도",고양시_재차인원!$K$4:$K$20,0),MATCH('A.일산테크노밸리(859991)_수정'!DI$45,고양시_재차인원!$K$4:$O$4,0))</f>
        <v>0.51117988031313166</v>
      </c>
      <c r="DJ52" s="268">
        <f>INDEX($BC$44:$BP$57,MATCH($CW52,$L$44:$L$57,0),MATCH(DJ$45,$BC$45:$BP$45,0))/INDEX(고양시_재차인원!$D$4:$H$35,MATCH("고양시",고양시_재차인원!$B$4:$B$35,0),MATCH('A.일산테크노밸리(859991)_수정'!$DJ$44,고양시_재차인원!$D$4:$H$4,0))</f>
        <v>4.9651992128004897E-2</v>
      </c>
      <c r="DK52" s="267">
        <f>INDEX($BC$44:$BP$57,MATCH($CW52,$L$44:$L$57,0),MATCH(DK$45,$BC$45:$BP$45,0))/INDEX(고양시_재차인원!$K$4:$O$20,MATCH("경기도",고양시_재차인원!$K$4:$K$20,0),MATCH('A.일산테크노밸리(859991)_수정'!DK$45,고양시_재차인원!$K$4:$O$4,0))</f>
        <v>1.5039924558178132E-4</v>
      </c>
      <c r="DL52" s="267">
        <f>INDEX($BC$44:$BP$57,MATCH($CW52,$L$44:$L$57,0),MATCH(DL$45,$BC$45:$BP$45,0))/INDEX(고양시_재차인원!$K$4:$O$20,MATCH("경기도",고양시_재차인원!$K$4:$K$20,0),MATCH('A.일산테크노밸리(859991)_수정'!DL$45,고양시_재차인원!$K$4:$O$4,0))</f>
        <v>1.0026616372118753E-4</v>
      </c>
      <c r="DM52" s="267">
        <f>INDEX($BC$44:$BP$57,MATCH($CW52,$L$44:$L$57,0),MATCH(DM$45,$BC$45:$BP$45,0))/INDEX(고양시_재차인원!$K$4:$O$20,MATCH("경기도",고양시_재차인원!$K$4:$K$20,0),MATCH('A.일산테크노밸리(859991)_수정'!DM$45,고양시_재차인원!$K$4:$O$4,0))</f>
        <v>4.1315701858475932E-4</v>
      </c>
      <c r="DN52" s="268">
        <f>INDEX($BQ$44:$CD$57,MATCH($CW52,$L$44:$L$57,0),MATCH(DN$45,$BQ$45:$CD$45,0))/INDEX(고양시_재차인원!$D$4:$H$35,MATCH("고양시",고양시_재차인원!$B$4:$B$35,0),MATCH('A.일산테크노밸리(859991)_수정'!$DN$44,고양시_재차인원!$D$4:$H$4,0))</f>
        <v>0.11236697360089203</v>
      </c>
      <c r="DO52" s="267">
        <f>INDEX($BQ$44:$CD$57,MATCH($CW52,$L$44:$L$57,0),MATCH(DO$45,$BQ$45:$CD$45,0))/INDEX(고양시_재차인원!$K$4:$O$20,MATCH("경기도",고양시_재차인원!$K$4:$K$20,0),MATCH('A.일산테크노밸리(859991)_수정'!DO$45,고양시_재차인원!$K$4:$O$4,0))</f>
        <v>4.486013906979476E-4</v>
      </c>
      <c r="DP52" s="267">
        <f>INDEX($BQ$44:$CD$57,MATCH($CW52,$L$44:$L$57,0),MATCH(DP$45,$BQ$45:$CD$45,0))/INDEX(고양시_재차인원!$K$4:$O$20,MATCH("경기도",고양시_재차인원!$K$4:$K$20,0),MATCH('A.일산테크노밸리(859991)_수정'!DP$45,고양시_재차인원!$K$4:$O$4,0))</f>
        <v>1.4982804945135387E-3</v>
      </c>
      <c r="DQ52" s="267">
        <f>INDEX($BQ$44:$CD$57,MATCH($CW52,$L$44:$L$57,0),MATCH(DQ$45,$BQ$45:$CD$45,0))/INDEX(고양시_재차인원!$K$4:$O$20,MATCH("경기도",고양시_재차인원!$K$4:$K$20,0),MATCH('A.일산테크노밸리(859991)_수정'!DQ$45,고양시_재차인원!$K$4:$O$4,0))</f>
        <v>1.0781948511312745E-4</v>
      </c>
      <c r="DR52" s="269">
        <f t="shared" si="24"/>
        <v>208.03957482418559</v>
      </c>
      <c r="DS52" s="270">
        <f t="shared" si="18"/>
        <v>1.6331252669568408E-3</v>
      </c>
      <c r="DT52" s="270">
        <f t="shared" si="19"/>
        <v>0.93476140530177243</v>
      </c>
      <c r="DU52" s="270">
        <f t="shared" si="20"/>
        <v>23.162189965767165</v>
      </c>
      <c r="DW52" s="278"/>
      <c r="DX52" s="278" t="s">
        <v>597</v>
      </c>
      <c r="DY52" s="281">
        <f>SUM(DR52:DR54)+SUM(DU52:DU54)</f>
        <v>1000.9061324951974</v>
      </c>
      <c r="DZ52" s="281">
        <f>SUM(DS52:DS54)+SUM(DT52:DT54)</f>
        <v>4.0537883823364833</v>
      </c>
      <c r="EC52" s="412" t="s">
        <v>15</v>
      </c>
      <c r="ED52" s="412" t="s">
        <v>572</v>
      </c>
      <c r="EE52" s="412">
        <v>10713.892900000001</v>
      </c>
      <c r="EF52" s="412">
        <v>4.9759499124587728E-2</v>
      </c>
      <c r="EG52" s="413">
        <v>859007</v>
      </c>
      <c r="EH52" s="414">
        <f t="shared" si="27"/>
        <v>366.55758155402913</v>
      </c>
      <c r="EI52" s="415">
        <f t="shared" si="28"/>
        <v>1.4846016197909657</v>
      </c>
      <c r="EJ52" s="402">
        <v>0</v>
      </c>
      <c r="EM52" s="278" t="s">
        <v>15</v>
      </c>
      <c r="EN52" s="278" t="s">
        <v>572</v>
      </c>
      <c r="EO52" s="278">
        <v>10713.892900000001</v>
      </c>
      <c r="EP52" s="278">
        <v>4.9759499124587728E-2</v>
      </c>
      <c r="EQ52" s="289">
        <v>859007</v>
      </c>
      <c r="ER52" s="290">
        <f t="shared" si="29"/>
        <v>366.55758155402913</v>
      </c>
      <c r="ES52" s="291">
        <f t="shared" si="21"/>
        <v>1.4846016197909657</v>
      </c>
      <c r="ET52" s="402">
        <v>0</v>
      </c>
      <c r="EV52" s="34"/>
      <c r="EW52" s="34"/>
      <c r="EX52" s="34"/>
      <c r="EY52" s="34"/>
      <c r="EZ52" s="378"/>
      <c r="FA52" s="401"/>
      <c r="FB52" s="402"/>
      <c r="FC52" s="402"/>
    </row>
    <row r="53" spans="1:159" ht="27" customHeight="1">
      <c r="A53" s="205" t="s">
        <v>492</v>
      </c>
      <c r="B53" s="203" t="s">
        <v>487</v>
      </c>
      <c r="C53" s="400">
        <f>'A.일산테크노밸리(859991)_수정'!$P36*KTDB_TripDistribution_2025!L$12</f>
        <v>67.072930450148789</v>
      </c>
      <c r="D53" s="400">
        <f>'A.일산테크노밸리(859991)_수정'!$P36*KTDB_TripDistribution_2025!M$12</f>
        <v>521.56805163096851</v>
      </c>
      <c r="E53" s="400">
        <f>'A.일산테크노밸리(859991)_수정'!$P36*KTDB_TripDistribution_2025!N$12</f>
        <v>23.118688054362739</v>
      </c>
      <c r="F53" s="400">
        <f>'A.일산테크노밸리(859991)_수정'!$P36*KTDB_TripDistribution_2025!O$12</f>
        <v>6.2694747266068676E-2</v>
      </c>
      <c r="G53" s="400">
        <f>'A.일산테크노밸리(859991)_수정'!$P36*KTDB_TripDistribution_2025!P$12</f>
        <v>0.17763511725386036</v>
      </c>
      <c r="H53" s="400">
        <f>'A.일산테크노밸리(859991)_수정'!$P36*KTDB_TripDistribution_2025!Q$12</f>
        <v>612</v>
      </c>
      <c r="J53" s="230">
        <f t="shared" si="4"/>
        <v>612</v>
      </c>
      <c r="K53" s="206"/>
      <c r="L53" s="210" t="s">
        <v>487</v>
      </c>
      <c r="M53" s="213">
        <f>INDEX($A$45:$H$57,MATCH($L53,$B$45:$B$57,0),MATCH($M$44,$A$45:$H$45,0))*고양시_Modal_split!C$3 * 0.01</f>
        <v>0.18780420526041661</v>
      </c>
      <c r="N53" s="207">
        <f>INDEX($A$45:$H$57,MATCH($L53,$B$45:$B$57,0),MATCH($M$44,$A$45:$H$45,0))*고양시_Modal_split!D$3 * 0.01</f>
        <v>31.544399190704976</v>
      </c>
      <c r="O53" s="207">
        <f>INDEX($A$45:$H$57,MATCH($L53,$B$45:$B$57,0),MATCH($M$44,$A$45:$H$45,0))*고양시_Modal_split!E$3 * 0.01</f>
        <v>3.8164497426134658</v>
      </c>
      <c r="P53" s="207">
        <f>INDEX($A$45:$H$57,MATCH($L53,$B$45:$B$57,0),MATCH($M$44,$A$45:$H$45,0))*고양시_Modal_split!F$3 * 0.01</f>
        <v>6.1505877222786447</v>
      </c>
      <c r="Q53" s="207">
        <f>INDEX($A$45:$H$57,MATCH($L53,$B$45:$B$57,0),MATCH($M$44,$A$45:$H$45,0))*고양시_Modal_split!G$3 * 0.01</f>
        <v>0.61707096014136886</v>
      </c>
      <c r="R53" s="207">
        <f>INDEX($A$45:$H$57,MATCH($L53,$B$45:$B$57,0),MATCH($M$44,$A$45:$H$45,0))*고양시_Modal_split!H$3 * 0.01</f>
        <v>6.7072930450148794E-3</v>
      </c>
      <c r="S53" s="207">
        <f>INDEX($A$45:$H$57,MATCH($L53,$B$45:$B$57,0),MATCH($M$44,$A$45:$H$45,0))*고양시_Modal_split!I$3 * 0.01</f>
        <v>1.8646274665141362</v>
      </c>
      <c r="T53" s="207">
        <f>INDEX($A$45:$H$57,MATCH($L53,$B$45:$B$57,0),MATCH($M$44,$A$45:$H$45,0))*고양시_Modal_split!J$3 * 0.01</f>
        <v>20.417000029025292</v>
      </c>
      <c r="U53" s="207">
        <f>INDEX($A$45:$H$57,MATCH($L53,$B$45:$B$57,0),MATCH($M$44,$A$45:$H$45,0))*고양시_Modal_split!K$3 * 0.01</f>
        <v>0.10060939567522319</v>
      </c>
      <c r="V53" s="207">
        <f>INDEX($A$45:$H$57,MATCH($L53,$B$45:$B$57,0),MATCH($M$44,$A$45:$H$45,0))*고양시_Modal_split!L$3 * 0.01</f>
        <v>2.0256024995944935</v>
      </c>
      <c r="W53" s="207">
        <f>INDEX($A$45:$H$57,MATCH($L53,$B$45:$B$57,0),MATCH($M$44,$A$45:$H$45,0))*고양시_Modal_split!M$3 * 0.01</f>
        <v>0.15426774003534222</v>
      </c>
      <c r="X53" s="207">
        <f>INDEX($A$45:$H$57,MATCH($L53,$B$45:$B$57,0),MATCH($M$44,$A$45:$H$45,0))*고양시_Modal_split!N$3 * 0.01</f>
        <v>6.7072930450148796E-2</v>
      </c>
      <c r="Y53" s="207">
        <f>INDEX($A$45:$H$57,MATCH($L53,$B$45:$B$57,0),MATCH($M$44,$A$45:$H$45,0))*고양시_Modal_split!O$3 * 0.01</f>
        <v>0.12073127481026782</v>
      </c>
      <c r="Z53" s="214">
        <f>INDEX($A$45:$H$57,MATCH($L53,$B$45:$B$57,0),MATCH($M$44,$A$45:$H$45,0))*고양시_Modal_split!P$3 * 0.01</f>
        <v>67.072930450148789</v>
      </c>
      <c r="AA53" s="213">
        <f>INDEX($A$45:$H$57,MATCH($L53,$B$45:$B$57,0),MATCH($AA$44,$A$45:$H$45,0))*고양시_Modal_split!C$4 * 0.01</f>
        <v>158.76531491646682</v>
      </c>
      <c r="AB53" s="207">
        <f>INDEX($A$45:$H$57,MATCH($L53,$B$45:$B$57,0),MATCH($AA$44,$A$45:$H$45,0))*고양시_Modal_split!D$4 * 0.01</f>
        <v>167.26687415805162</v>
      </c>
      <c r="AC53" s="207">
        <f>INDEX($A$45:$H$57,MATCH($L53,$B$45:$B$57,0),MATCH($AA$44,$A$45:$H$45,0))*고양시_Modal_split!E$4 * 0.01</f>
        <v>40.52583761172626</v>
      </c>
      <c r="AD53" s="207">
        <f>INDEX($A$45:$H$57,MATCH($L53,$B$45:$B$57,0),MATCH($AA$44,$A$45:$H$45,0))*고양시_Modal_split!F$4 * 0.01</f>
        <v>4.9548964904942006</v>
      </c>
      <c r="AE53" s="207">
        <f>INDEX($A$45:$H$57,MATCH($L53,$B$45:$B$57,0),MATCH($AA$44,$A$45:$H$45,0))*고양시_Modal_split!G$4 * 0.01</f>
        <v>61.075618845986412</v>
      </c>
      <c r="AF53" s="207">
        <f>INDEX($A$45:$H$57,MATCH($L53,$B$45:$B$57,0),MATCH($AA$44,$A$45:$H$45,0))*고양시_Modal_split!H$4 * 0.01</f>
        <v>0</v>
      </c>
      <c r="AG53" s="207">
        <f>INDEX($A$45:$H$57,MATCH($L53,$B$45:$B$57,0),MATCH($AA$44,$A$45:$H$45,0))*고양시_Modal_split!I$4 * 0.01</f>
        <v>18.150568196757703</v>
      </c>
      <c r="AH53" s="207">
        <f>INDEX($A$45:$H$57,MATCH($L53,$B$45:$B$57,0),MATCH($AA$44,$A$45:$H$45,0))*고양시_Modal_split!J$4 * 0.01</f>
        <v>24.56585523181862</v>
      </c>
      <c r="AI53" s="207">
        <f>INDEX($A$45:$H$57,MATCH($L53,$B$45:$B$57,0),MATCH($AA$44,$A$45:$H$45,0))*고양시_Modal_split!K$4 * 0.01</f>
        <v>0</v>
      </c>
      <c r="AJ53" s="207">
        <f>INDEX($A$45:$H$57,MATCH($L53,$B$45:$B$57,0),MATCH($AA$44,$A$45:$H$45,0))*고양시_Modal_split!L$4 * 0.01</f>
        <v>24.096443985350749</v>
      </c>
      <c r="AK53" s="207">
        <f>INDEX($A$45:$H$57,MATCH($L53,$B$45:$B$57,0),MATCH($AA$44,$A$45:$H$45,0))*고양시_Modal_split!M$4 * 0.01</f>
        <v>3.4945059459274894</v>
      </c>
      <c r="AL53" s="207">
        <f>INDEX($A$45:$H$57,MATCH($L53,$B$45:$B$57,0),MATCH($AA$44,$A$45:$H$45,0))*고양시_Modal_split!N$4 * 0.01</f>
        <v>13.039201290774214</v>
      </c>
      <c r="AM53" s="207">
        <f>INDEX($A$45:$H$57,MATCH($L53,$B$45:$B$57,0),MATCH($AA$44,$A$45:$H$45,0))*고양시_Modal_split!O$4 * 0.01</f>
        <v>5.6329349576144603</v>
      </c>
      <c r="AN53" s="214">
        <f>INDEX($A$45:$H$57,MATCH($L53,$B$45:$B$57,0),MATCH($AA$44,$A$45:$H$45,0))*고양시_Modal_split!P$4 * 0.01</f>
        <v>521.56805163096851</v>
      </c>
      <c r="AO53" s="213">
        <f>INDEX($A$45:$H$57,MATCH($L53,$B$45:$B$57,0),MATCH($AO$44,$A$45:$H$45,0))*고양시_Modal_split!C$5 * 0.01</f>
        <v>1.3871212832617644E-2</v>
      </c>
      <c r="AP53" s="207">
        <f>INDEX($A$45:$H$57,MATCH($L53,$B$45:$B$57,0),MATCH($AO$44,$A$45:$H$45,0))*고양시_Modal_split!D$5 * 0.01</f>
        <v>16.941374606237016</v>
      </c>
      <c r="AQ53" s="207">
        <f>INDEX($A$45:$H$57,MATCH($L53,$B$45:$B$57,0),MATCH($AO$44,$A$45:$H$45,0))*고양시_Modal_split!E$5 * 0.01</f>
        <v>2.2771907733547296</v>
      </c>
      <c r="AR53" s="207">
        <f>INDEX($A$45:$H$57,MATCH($L53,$B$45:$B$57,0),MATCH($AO$44,$A$45:$H$45,0))*고양시_Modal_split!F$5 * 0.01</f>
        <v>0.48549244914161754</v>
      </c>
      <c r="AS53" s="207">
        <f>INDEX($A$45:$H$57,MATCH($L53,$B$45:$B$57,0),MATCH($AO$44,$A$45:$H$45,0))*고양시_Modal_split!G$5 * 0.01</f>
        <v>0.1502714723533578</v>
      </c>
      <c r="AT53" s="207">
        <f>INDEX($A$45:$H$57,MATCH($L53,$B$45:$B$57,0),MATCH($AO$44,$A$45:$H$45,0))*고양시_Modal_split!H$5 * 0.01</f>
        <v>1.6183081638053917E-2</v>
      </c>
      <c r="AU53" s="207">
        <f>INDEX($A$45:$H$57,MATCH($L53,$B$45:$B$57,0),MATCH($AO$44,$A$45:$H$45,0))*고양시_Modal_split!I$5 * 0.01</f>
        <v>0.64038765910584783</v>
      </c>
      <c r="AV53" s="207">
        <f>INDEX($A$45:$H$57,MATCH($L53,$B$45:$B$57,0),MATCH($AO$44,$A$45:$H$45,0))*고양시_Modal_split!J$5 * 0.01</f>
        <v>1.4495417410085438</v>
      </c>
      <c r="AW53" s="207">
        <f>INDEX($A$45:$H$57,MATCH($L53,$B$45:$B$57,0),MATCH($AO$44,$A$45:$H$45,0))*고양시_Modal_split!K$5 * 0.01</f>
        <v>4.623737610872548E-3</v>
      </c>
      <c r="AX53" s="207">
        <f>INDEX($A$45:$H$57,MATCH($L53,$B$45:$B$57,0),MATCH($AO$44,$A$45:$H$45,0))*고양시_Modal_split!L$5 * 0.01</f>
        <v>0.58952654538624982</v>
      </c>
      <c r="AY53" s="207">
        <f>INDEX($A$45:$H$57,MATCH($L53,$B$45:$B$57,0),MATCH($AO$44,$A$45:$H$45,0))*고양시_Modal_split!M$5 * 0.01</f>
        <v>0.15489520996423037</v>
      </c>
      <c r="AZ53" s="207">
        <f>INDEX($A$45:$H$57,MATCH($L53,$B$45:$B$57,0),MATCH($AO$44,$A$45:$H$45,0))*고양시_Modal_split!N$5 * 0.01</f>
        <v>3.9301769692416652E-2</v>
      </c>
      <c r="BA53" s="207">
        <f>INDEX($A$45:$H$57,MATCH($L53,$B$45:$B$57,0),MATCH($AO$44,$A$45:$H$45,0))*고양시_Modal_split!O$5 * 0.01</f>
        <v>0.35602779603718615</v>
      </c>
      <c r="BB53" s="214">
        <f>INDEX($A$45:$H$57,MATCH($L53,$B$45:$B$57,0),MATCH($AO$44,$A$45:$H$45,0))*고양시_Modal_split!P$5 * 0.01</f>
        <v>23.118688054362739</v>
      </c>
      <c r="BC53" s="213">
        <f>INDEX($A$45:$H$57,MATCH($L53,$B$45:$B$57,0),MATCH($BC$44,$A$45:$H$45,0))*고양시_Modal_split!C$6 * 0.01</f>
        <v>0</v>
      </c>
      <c r="BD53" s="207">
        <f>INDEX($A$45:$H$57,MATCH($L53,$B$45:$B$57,0),MATCH($BC$44,$A$45:$H$45,0))*고양시_Modal_split!D$6 * 0.01</f>
        <v>5.1917520211031465E-2</v>
      </c>
      <c r="BE53" s="207">
        <f>INDEX($A$45:$H$57,MATCH($L53,$B$45:$B$57,0),MATCH($BC$44,$A$45:$H$45,0))*고양시_Modal_split!E$6 * 0.01</f>
        <v>2.6958741324409531E-4</v>
      </c>
      <c r="BF53" s="207">
        <f>INDEX($A$45:$H$57,MATCH($L53,$B$45:$B$57,0),MATCH($BC$44,$A$45:$H$45,0))*고양시_Modal_split!F$6 * 0.01</f>
        <v>7.6487591664603787E-4</v>
      </c>
      <c r="BG53" s="207">
        <f>INDEX($A$45:$H$57,MATCH($L53,$B$45:$B$57,0),MATCH($BC$44,$A$45:$H$45,0))*고양시_Modal_split!G$6 * 0.01</f>
        <v>0</v>
      </c>
      <c r="BH53" s="207">
        <f>INDEX($A$45:$H$57,MATCH($L53,$B$45:$B$57,0),MATCH($BC$44,$A$45:$H$45,0))*고양시_Modal_split!H$6 * 0.01</f>
        <v>3.329091079828247E-3</v>
      </c>
      <c r="BI53" s="207">
        <f>INDEX($A$45:$H$57,MATCH($L53,$B$45:$B$57,0),MATCH($BC$44,$A$45:$H$45,0))*고양시_Modal_split!I$6 * 0.01</f>
        <v>2.2193940532188312E-3</v>
      </c>
      <c r="BJ53" s="207">
        <f>INDEX($A$45:$H$57,MATCH($L53,$B$45:$B$57,0),MATCH($BC$44,$A$45:$H$45,0))*고양시_Modal_split!J$6 * 0.01</f>
        <v>3.0971205149437925E-3</v>
      </c>
      <c r="BK53" s="207">
        <f>INDEX($A$45:$H$57,MATCH($L53,$B$45:$B$57,0),MATCH($BC$44,$A$45:$H$45,0))*고양시_Modal_split!K$6 * 0.01</f>
        <v>0</v>
      </c>
      <c r="BL53" s="207">
        <f>INDEX($A$45:$H$57,MATCH($L53,$B$45:$B$57,0),MATCH($BC$44,$A$45:$H$45,0))*고양시_Modal_split!L$6 * 0.01</f>
        <v>4.7648007922212196E-4</v>
      </c>
      <c r="BM53" s="207">
        <f>INDEX($A$45:$H$57,MATCH($L53,$B$45:$B$57,0),MATCH($BC$44,$A$45:$H$45,0))*고양시_Modal_split!M$6 * 0.01</f>
        <v>5.7052220012122499E-4</v>
      </c>
      <c r="BN53" s="207">
        <f>INDEX($A$45:$H$57,MATCH($L53,$B$45:$B$57,0),MATCH($BC$44,$A$45:$H$45,0))*고양시_Modal_split!N$6 * 0.01</f>
        <v>0</v>
      </c>
      <c r="BO53" s="207">
        <f>INDEX($A$45:$H$57,MATCH($L53,$B$45:$B$57,0),MATCH($BC$44,$A$45:$H$45,0))*고양시_Modal_split!O$6 * 0.01</f>
        <v>5.0155797812854941E-5</v>
      </c>
      <c r="BP53" s="214">
        <f>INDEX($A$45:$H$57,MATCH($L53,$B$45:$B$57,0),MATCH($BC$44,$A$45:$H$45,0))*고양시_Modal_split!P$6 * 0.01</f>
        <v>6.2694747266068676E-2</v>
      </c>
      <c r="BQ53" s="213">
        <f>INDEX($A$45:$H$57,MATCH($L53,$B$45:$B$57,0),MATCH($BQ$44,$A$45:$H$45,0))*고양시_Modal_split!C$7 * 0.01</f>
        <v>0</v>
      </c>
      <c r="BR53" s="207">
        <f>INDEX($A$45:$H$57,MATCH($L53,$B$45:$B$57,0),MATCH($BQ$44,$A$45:$H$45,0))*고양시_Modal_split!D$7 * 0.01</f>
        <v>0.10885479985316562</v>
      </c>
      <c r="BS53" s="207">
        <f>INDEX($A$45:$H$57,MATCH($L53,$B$45:$B$57,0),MATCH($BQ$44,$A$45:$H$45,0))*고양시_Modal_split!E$7 * 0.01</f>
        <v>5.3112900058904242E-3</v>
      </c>
      <c r="BT53" s="207">
        <f>INDEX($A$45:$H$57,MATCH($L53,$B$45:$B$57,0),MATCH($BQ$44,$A$45:$H$45,0))*고양시_Modal_split!F$7 * 0.01</f>
        <v>1.7763511725386036E-3</v>
      </c>
      <c r="BU53" s="207">
        <f>INDEX($A$45:$H$57,MATCH($L53,$B$45:$B$57,0),MATCH($BQ$44,$A$45:$H$45,0))*고양시_Modal_split!G$7 * 0.01</f>
        <v>7.4606749246621353E-4</v>
      </c>
      <c r="BV53" s="207">
        <f>INDEX($A$45:$H$57,MATCH($L53,$B$45:$B$57,0),MATCH($BQ$44,$A$45:$H$45,0))*고양시_Modal_split!H$7 * 0.01</f>
        <v>9.929803054490793E-3</v>
      </c>
      <c r="BW53" s="207">
        <f>INDEX($A$45:$H$57,MATCH($L53,$B$45:$B$57,0),MATCH($BQ$44,$A$45:$H$45,0))*고양시_Modal_split!I$7 * 0.01</f>
        <v>3.3164476391295737E-2</v>
      </c>
      <c r="BX53" s="207">
        <f>INDEX($A$45:$H$57,MATCH($L53,$B$45:$B$57,0),MATCH($BQ$44,$A$45:$H$45,0))*고양시_Modal_split!J$7 * 0.01</f>
        <v>3.5527023450772073E-5</v>
      </c>
      <c r="BY53" s="207">
        <f>INDEX($A$45:$H$57,MATCH($L53,$B$45:$B$57,0),MATCH($BQ$44,$A$45:$H$45,0))*고양시_Modal_split!K$7 * 0.01</f>
        <v>1.3677904028547247E-2</v>
      </c>
      <c r="BZ53" s="207">
        <f>INDEX($A$45:$H$57,MATCH($L53,$B$45:$B$57,0),MATCH($BQ$44,$A$45:$H$45,0))*고양시_Modal_split!L$7 * 0.01</f>
        <v>1.2434458207770223E-4</v>
      </c>
      <c r="CA53" s="207">
        <f>INDEX($A$45:$H$57,MATCH($L53,$B$45:$B$57,0),MATCH($BQ$44,$A$45:$H$45,0))*고양시_Modal_split!M$7 * 0.01</f>
        <v>3.3217766926471885E-3</v>
      </c>
      <c r="CB53" s="207">
        <f>INDEX($A$45:$H$57,MATCH($L53,$B$45:$B$57,0),MATCH($BQ$44,$A$45:$H$45,0))*고양시_Modal_split!N$7 * 0.01</f>
        <v>6.9277695729005537E-4</v>
      </c>
      <c r="CC53" s="207">
        <f>INDEX($A$45:$H$57,MATCH($L53,$B$45:$B$57,0),MATCH($BQ$44,$A$45:$H$45,0))*고양시_Modal_split!O$7 * 0.01</f>
        <v>0</v>
      </c>
      <c r="CD53" s="214">
        <f>INDEX($A$45:$H$57,MATCH($L53,$B$45:$B$57,0),MATCH($BQ$44,$A$45:$H$45,0))*고양시_Modal_split!P$7 * 0.01</f>
        <v>0.17763511725386036</v>
      </c>
      <c r="CE53" s="218">
        <f t="shared" si="22"/>
        <v>158.96699033455985</v>
      </c>
      <c r="CF53" s="208">
        <f t="shared" si="5"/>
        <v>215.9134202750578</v>
      </c>
      <c r="CG53" s="208">
        <f t="shared" si="6"/>
        <v>46.625059005113592</v>
      </c>
      <c r="CH53" s="208">
        <f t="shared" si="7"/>
        <v>11.593517889003646</v>
      </c>
      <c r="CI53" s="208">
        <f t="shared" si="8"/>
        <v>61.843707345973606</v>
      </c>
      <c r="CJ53" s="208">
        <f t="shared" si="9"/>
        <v>3.6149268817387836E-2</v>
      </c>
      <c r="CK53" s="208">
        <f t="shared" si="10"/>
        <v>20.690967192822203</v>
      </c>
      <c r="CL53" s="208">
        <f t="shared" si="11"/>
        <v>46.435529649390851</v>
      </c>
      <c r="CM53" s="208">
        <f t="shared" si="12"/>
        <v>0.11891103731464299</v>
      </c>
      <c r="CN53" s="208">
        <f t="shared" si="13"/>
        <v>26.712173854992791</v>
      </c>
      <c r="CO53" s="208">
        <f t="shared" si="14"/>
        <v>3.8075611948198302</v>
      </c>
      <c r="CP53" s="208">
        <f t="shared" si="15"/>
        <v>13.146268767874069</v>
      </c>
      <c r="CQ53" s="208">
        <f t="shared" si="16"/>
        <v>6.1097441842597275</v>
      </c>
      <c r="CR53" s="219">
        <f t="shared" si="17"/>
        <v>612</v>
      </c>
      <c r="CS53" s="225">
        <f t="shared" si="23"/>
        <v>0</v>
      </c>
      <c r="CV53" s="265" t="s">
        <v>433</v>
      </c>
      <c r="CW53" s="271" t="s">
        <v>487</v>
      </c>
      <c r="CX53" s="267">
        <f>INDEX($M$44:$Z$57,MATCH($CW53,$L$44:$L$57,0),MATCH(CX$45,$M$45:$Z$45,0))/INDEX(고양시_재차인원!$D$4:$H$35,MATCH("고양시",고양시_재차인원!$B$4:$B$35,0),MATCH('A.일산테크노밸리(859991)_수정'!$CX$44,고양시_재차인원!$D$4:$H$4,0))</f>
        <v>28.164642134558012</v>
      </c>
      <c r="CY53" s="267">
        <f>INDEX($M$44:$Z$57,MATCH($CW53,$L$44:$L$57,0),MATCH(CY$45,$M$45:$Z$45,0))/INDEX(고양시_재차인원!$K$4:$O$20,MATCH("경기도",고양시_재차인원!$K$4:$K$20,0),MATCH('A.일산테크노밸리(859991)_수정'!CY$45,고양시_재차인원!$K$4:$O$4,0))</f>
        <v>2.3297301302587287E-4</v>
      </c>
      <c r="CZ53" s="267">
        <f>INDEX($M$44:$Z$57,MATCH($CW53,$L$44:$L$57,0),MATCH(CZ$45,$M$45:$Z$45,0))/INDEX(고양시_재차인원!$K$4:$O$20,MATCH("경기도",고양시_재차인원!$K$4:$K$20,0),MATCH('A.일산테크노밸리(859991)_수정'!CZ$45,고양시_재차인원!$K$4:$O$4,0))</f>
        <v>6.4766497621192645E-2</v>
      </c>
      <c r="DA53" s="267">
        <f>INDEX($M$44:$Z$57,MATCH($CW53,$L$44:$L$57,0),MATCH(DA$45,$M$45:$Z$45,0))/INDEX(고양시_재차인원!$K$4:$O$20,MATCH("경기도",고양시_재차인원!$K$4:$K$20,0),MATCH('A.일산테크노밸리(859991)_수정'!DA$45,고양시_재차인원!$K$4:$O$4,0))</f>
        <v>1.350401666396329</v>
      </c>
      <c r="DB53" s="268">
        <f>INDEX($AA$44:$AN$57,MATCH($CW53,$L$44:$L$57,0),MATCH(DB$45,$AA$45:$AN$45,0))/INDEX(고양시_재차인원!$D$4:$H$35,MATCH("고양시",고양시_재차인원!$B$4:$B$35,0),MATCH('A.일산테크노밸리(859991)_수정'!$DB$44,고양시_재차인원!$D$4:$H$4,0))</f>
        <v>118.62898876457562</v>
      </c>
      <c r="DC53" s="267">
        <f>INDEX($AA$44:$AN$57,MATCH($CW53,$L$44:$L$57,0),MATCH(DC$45,$AA$45:$AN$45,0))/INDEX(고양시_재차인원!$K$4:$O$20,MATCH("경기도",고양시_재차인원!$K$4:$K$20,0),MATCH('A.일산테크노밸리(859991)_수정'!DC$45,고양시_재차인원!$K$4:$O$4,0))</f>
        <v>0</v>
      </c>
      <c r="DD53" s="267">
        <f>INDEX($AA$44:$AN$57,MATCH($CW53,$L$44:$L$57,0),MATCH(DD$45,$AA$45:$AN$45,0))/INDEX(고양시_재차인원!$K$4:$O$20,MATCH("경기도",고양시_재차인원!$K$4:$K$20,0),MATCH('A.일산테크노밸리(859991)_수정'!DD$45,고양시_재차인원!$K$4:$O$4,0))</f>
        <v>0.63044696758449825</v>
      </c>
      <c r="DE53" s="267">
        <f>INDEX($AA$44:$AN$57,MATCH($CW53,$L$44:$L$57,0),MATCH(DE$45,$AA$45:$AN$45,0))/INDEX(고양시_재차인원!$K$4:$O$20,MATCH("경기도",고양시_재차인원!$K$4:$K$20,0),MATCH('A.일산테크노밸리(859991)_수정'!DE$45,고양시_재차인원!$K$4:$O$4,0))</f>
        <v>16.064295990233834</v>
      </c>
      <c r="DF53" s="268">
        <f>INDEX($AO$44:$BB$57,MATCH($CW53,$L$44:$L$57,0),MATCH(DF$45,$AO$45:$BB$45,0))/INDEX(고양시_재차인원!$D$4:$H$35,MATCH("고양시",고양시_재차인원!$B$4:$B$35,0),MATCH('A.일산테크노밸리(859991)_수정'!$DF$44,고양시_재차인원!$D$4:$H$4,0))</f>
        <v>13.03182662018232</v>
      </c>
      <c r="DG53" s="267">
        <f>INDEX($AO$44:$BB$57,MATCH($CW53,$L$44:$L$57,0),MATCH(DG$45,$AO$45:$BB$45,0))/INDEX(고양시_재차인원!$K$4:$O$20,MATCH("경기도",고양시_재차인원!$K$4:$K$20,0),MATCH('A.일산테크노밸리(859991)_수정'!DG$45,고양시_재차인원!$K$4:$O$4,0))</f>
        <v>5.6210773317311277E-4</v>
      </c>
      <c r="DH53" s="267">
        <f>INDEX($AO$44:$BB$57,MATCH($CW53,$L$44:$L$57,0),MATCH(DH$45,$AO$45:$BB$45,0))/INDEX(고양시_재차인원!$K$4:$O$20,MATCH("경기도",고양시_재차인원!$K$4:$K$20,0),MATCH('A.일산테크노밸리(859991)_수정'!DH$45,고양시_재차인원!$K$4:$O$4,0))</f>
        <v>2.2243406012707464E-2</v>
      </c>
      <c r="DI53" s="267">
        <f>INDEX($AO$44:$BB$57,MATCH($CW53,$L$44:$L$57,0),MATCH(DI$45,$AO$45:$BB$45,0))/INDEX(고양시_재차인원!$K$4:$O$20,MATCH("경기도",고양시_재차인원!$K$4:$K$20,0),MATCH('A.일산테크노밸리(859991)_수정'!DI$45,고양시_재차인원!$K$4:$O$4,0))</f>
        <v>0.39301769692416655</v>
      </c>
      <c r="DJ53" s="268">
        <f>INDEX($BC$44:$BP$57,MATCH($CW53,$L$44:$L$57,0),MATCH(DJ$45,$BC$45:$BP$45,0))/INDEX(고양시_재차인원!$D$4:$H$35,MATCH("고양시",고양시_재차인원!$B$4:$B$35,0),MATCH('A.일산테크노밸리(859991)_수정'!$DJ$44,고양시_재차인원!$D$4:$H$4,0))</f>
        <v>3.8174647213993725E-2</v>
      </c>
      <c r="DK53" s="267">
        <f>INDEX($BC$44:$BP$57,MATCH($CW53,$L$44:$L$57,0),MATCH(DK$45,$BC$45:$BP$45,0))/INDEX(고양시_재차인원!$K$4:$O$20,MATCH("경기도",고양시_재차인원!$K$4:$K$20,0),MATCH('A.일산테크노밸리(859991)_수정'!DK$45,고양시_재차인원!$K$4:$O$4,0))</f>
        <v>1.1563359082418364E-4</v>
      </c>
      <c r="DL53" s="267">
        <f>INDEX($BC$44:$BP$57,MATCH($CW53,$L$44:$L$57,0),MATCH(DL$45,$BC$45:$BP$45,0))/INDEX(고양시_재차인원!$K$4:$O$20,MATCH("경기도",고양시_재차인원!$K$4:$K$20,0),MATCH('A.일산테크노밸리(859991)_수정'!DL$45,고양시_재차인원!$K$4:$O$4,0))</f>
        <v>7.7089060549455756E-5</v>
      </c>
      <c r="DM53" s="267">
        <f>INDEX($BC$44:$BP$57,MATCH($CW53,$L$44:$L$57,0),MATCH(DM$45,$BC$45:$BP$45,0))/INDEX(고양시_재차인원!$K$4:$O$20,MATCH("경기도",고양시_재차인원!$K$4:$K$20,0),MATCH('A.일산테크노밸리(859991)_수정'!DM$45,고양시_재차인원!$K$4:$O$4,0))</f>
        <v>3.1765338614808133E-4</v>
      </c>
      <c r="DN53" s="268">
        <f>INDEX($BQ$44:$CD$57,MATCH($CW53,$L$44:$L$57,0),MATCH(DN$45,$BQ$45:$CD$45,0))/INDEX(고양시_재차인원!$D$4:$H$35,MATCH("고양시",고양시_재차인원!$B$4:$B$35,0),MATCH('A.일산테크노밸리(859991)_수정'!$DN$44,고양시_재차인원!$D$4:$H$4,0))</f>
        <v>8.6392698296163195E-2</v>
      </c>
      <c r="DO53" s="267">
        <f>INDEX($BQ$44:$CD$57,MATCH($CW53,$L$44:$L$57,0),MATCH(DO$45,$BQ$45:$CD$45,0))/INDEX(고양시_재차인원!$K$4:$O$20,MATCH("경기도",고양시_재차인원!$K$4:$K$20,0),MATCH('A.일산테크노밸리(859991)_수정'!DO$45,고양시_재차인원!$K$4:$O$4,0))</f>
        <v>3.4490458681801989E-4</v>
      </c>
      <c r="DP53" s="267">
        <f>INDEX($BQ$44:$CD$57,MATCH($CW53,$L$44:$L$57,0),MATCH(DP$45,$BQ$45:$CD$45,0))/INDEX(고양시_재차인원!$K$4:$O$20,MATCH("경기도",고양시_재차인원!$K$4:$K$20,0),MATCH('A.일산테크노밸리(859991)_수정'!DP$45,고양시_재차인원!$K$4:$O$4,0))</f>
        <v>1.1519442998018665E-3</v>
      </c>
      <c r="DQ53" s="267">
        <f>INDEX($BQ$44:$CD$57,MATCH($CW53,$L$44:$L$57,0),MATCH(DQ$45,$BQ$45:$CD$45,0))/INDEX(고양시_재차인원!$K$4:$O$20,MATCH("경기도",고양시_재차인원!$K$4:$K$20,0),MATCH('A.일산테크노밸리(859991)_수정'!DQ$45,고양시_재차인원!$K$4:$O$4,0))</f>
        <v>8.2896388051801481E-5</v>
      </c>
      <c r="DR53" s="269">
        <f t="shared" si="24"/>
        <v>159.9500248648261</v>
      </c>
      <c r="DS53" s="270">
        <f t="shared" si="18"/>
        <v>1.2556189238411891E-3</v>
      </c>
      <c r="DT53" s="270">
        <f t="shared" si="19"/>
        <v>0.71868590457874981</v>
      </c>
      <c r="DU53" s="270">
        <f t="shared" si="20"/>
        <v>17.808115903328527</v>
      </c>
      <c r="DW53" s="278"/>
      <c r="DX53" s="278" t="s">
        <v>596</v>
      </c>
      <c r="DY53" s="281">
        <f>DR55+DU55</f>
        <v>316.88583591185744</v>
      </c>
      <c r="DZ53" s="281">
        <f>DS55+DT55</f>
        <v>1.2834251668975925</v>
      </c>
      <c r="EC53" s="412" t="s">
        <v>15</v>
      </c>
      <c r="ED53" s="412" t="s">
        <v>573</v>
      </c>
      <c r="EE53" s="412">
        <v>10028.5581</v>
      </c>
      <c r="EF53" s="412">
        <v>4.6576536899844041E-2</v>
      </c>
      <c r="EG53" s="413">
        <v>859008</v>
      </c>
      <c r="EH53" s="414">
        <f t="shared" si="27"/>
        <v>343.1100196652207</v>
      </c>
      <c r="EI53" s="415">
        <f t="shared" si="28"/>
        <v>1.3896362170493421</v>
      </c>
      <c r="EJ53" s="402">
        <v>0</v>
      </c>
      <c r="EM53" s="278" t="s">
        <v>15</v>
      </c>
      <c r="EN53" s="278" t="s">
        <v>573</v>
      </c>
      <c r="EO53" s="278">
        <v>10028.5581</v>
      </c>
      <c r="EP53" s="278">
        <v>4.6576536899844041E-2</v>
      </c>
      <c r="EQ53" s="289">
        <v>859008</v>
      </c>
      <c r="ER53" s="290">
        <f t="shared" si="29"/>
        <v>343.1100196652207</v>
      </c>
      <c r="ES53" s="291">
        <f t="shared" si="21"/>
        <v>1.3896362170493421</v>
      </c>
      <c r="ET53" s="402">
        <v>0</v>
      </c>
      <c r="EV53" s="34"/>
      <c r="EW53" s="34"/>
      <c r="EX53" s="34"/>
      <c r="EY53" s="34"/>
      <c r="EZ53" s="378"/>
      <c r="FA53" s="401"/>
      <c r="FB53" s="402"/>
      <c r="FC53" s="402"/>
    </row>
    <row r="54" spans="1:159" ht="27" customHeight="1">
      <c r="A54" s="205" t="s">
        <v>492</v>
      </c>
      <c r="B54" s="203" t="s">
        <v>23</v>
      </c>
      <c r="C54" s="400">
        <f>'A.일산테크노밸리(859991)_수정'!$P37*KTDB_TripDistribution_2025!L$12</f>
        <v>223.35724225065889</v>
      </c>
      <c r="D54" s="400">
        <f>'A.일산테크노밸리(859991)_수정'!$P37*KTDB_TripDistribution_2025!M$12</f>
        <v>1736.8557013462646</v>
      </c>
      <c r="E54" s="400">
        <f>'A.일산테크노밸리(859991)_수정'!$P37*KTDB_TripDistribution_2025!N$12</f>
        <v>76.986742246390961</v>
      </c>
      <c r="F54" s="400">
        <f>'A.일산테크노밸리(859991)_수정'!$P37*KTDB_TripDistribution_2025!O$12</f>
        <v>0.20877760609190843</v>
      </c>
      <c r="G54" s="400">
        <f>'A.일산테크노밸리(859991)_수정'!$P37*KTDB_TripDistribution_2025!P$12</f>
        <v>0.59153655059373766</v>
      </c>
      <c r="H54" s="400">
        <f>'A.일산테크노밸리(859991)_수정'!$P37*KTDB_TripDistribution_2025!Q$12</f>
        <v>2038</v>
      </c>
      <c r="J54" s="230">
        <f t="shared" si="4"/>
        <v>2038.0000000000002</v>
      </c>
      <c r="K54" s="206"/>
      <c r="L54" s="210" t="s">
        <v>23</v>
      </c>
      <c r="M54" s="213">
        <f>INDEX($A$45:$H$57,MATCH($L54,$B$45:$B$57,0),MATCH($M$44,$A$45:$H$45,0))*고양시_Modal_split!C$3 * 0.01</f>
        <v>0.62540027830184475</v>
      </c>
      <c r="N54" s="207">
        <f>INDEX($A$45:$H$57,MATCH($L54,$B$45:$B$57,0),MATCH($M$44,$A$45:$H$45,0))*고양시_Modal_split!D$3 * 0.01</f>
        <v>105.04491103048487</v>
      </c>
      <c r="O54" s="207">
        <f>INDEX($A$45:$H$57,MATCH($L54,$B$45:$B$57,0),MATCH($M$44,$A$45:$H$45,0))*고양시_Modal_split!E$3 * 0.01</f>
        <v>12.709027084062489</v>
      </c>
      <c r="P54" s="207">
        <f>INDEX($A$45:$H$57,MATCH($L54,$B$45:$B$57,0),MATCH($M$44,$A$45:$H$45,0))*고양시_Modal_split!F$3 * 0.01</f>
        <v>20.481859114385422</v>
      </c>
      <c r="Q54" s="207">
        <f>INDEX($A$45:$H$57,MATCH($L54,$B$45:$B$57,0),MATCH($M$44,$A$45:$H$45,0))*고양시_Modal_split!G$3 * 0.01</f>
        <v>2.0548866287060616</v>
      </c>
      <c r="R54" s="207">
        <f>INDEX($A$45:$H$57,MATCH($L54,$B$45:$B$57,0),MATCH($M$44,$A$45:$H$45,0))*고양시_Modal_split!H$3 * 0.01</f>
        <v>2.2335724225065891E-2</v>
      </c>
      <c r="S54" s="207">
        <f>INDEX($A$45:$H$57,MATCH($L54,$B$45:$B$57,0),MATCH($M$44,$A$45:$H$45,0))*고양시_Modal_split!I$3 * 0.01</f>
        <v>6.2093313345683168</v>
      </c>
      <c r="T54" s="207">
        <f>INDEX($A$45:$H$57,MATCH($L54,$B$45:$B$57,0),MATCH($M$44,$A$45:$H$45,0))*고양시_Modal_split!J$3 * 0.01</f>
        <v>67.98994454110057</v>
      </c>
      <c r="U54" s="207">
        <f>INDEX($A$45:$H$57,MATCH($L54,$B$45:$B$57,0),MATCH($M$44,$A$45:$H$45,0))*고양시_Modal_split!K$3 * 0.01</f>
        <v>0.33503586337598834</v>
      </c>
      <c r="V54" s="207">
        <f>INDEX($A$45:$H$57,MATCH($L54,$B$45:$B$57,0),MATCH($M$44,$A$45:$H$45,0))*고양시_Modal_split!L$3 * 0.01</f>
        <v>6.7453887159698978</v>
      </c>
      <c r="W54" s="207">
        <f>INDEX($A$45:$H$57,MATCH($L54,$B$45:$B$57,0),MATCH($M$44,$A$45:$H$45,0))*고양시_Modal_split!M$3 * 0.01</f>
        <v>0.51372165717651541</v>
      </c>
      <c r="X54" s="207">
        <f>INDEX($A$45:$H$57,MATCH($L54,$B$45:$B$57,0),MATCH($M$44,$A$45:$H$45,0))*고양시_Modal_split!N$3 * 0.01</f>
        <v>0.22335724225065889</v>
      </c>
      <c r="Y54" s="207">
        <f>INDEX($A$45:$H$57,MATCH($L54,$B$45:$B$57,0),MATCH($M$44,$A$45:$H$45,0))*고양시_Modal_split!O$3 * 0.01</f>
        <v>0.40204303605118596</v>
      </c>
      <c r="Z54" s="214">
        <f>INDEX($A$45:$H$57,MATCH($L54,$B$45:$B$57,0),MATCH($M$44,$A$45:$H$45,0))*고양시_Modal_split!P$3 * 0.01</f>
        <v>223.35724225065889</v>
      </c>
      <c r="AA54" s="213">
        <f>INDEX($A$45:$H$57,MATCH($L54,$B$45:$B$57,0),MATCH($AA$44,$A$45:$H$45,0))*고양시_Modal_split!C$4 * 0.01</f>
        <v>528.69887548980296</v>
      </c>
      <c r="AB54" s="207">
        <f>INDEX($A$45:$H$57,MATCH($L54,$B$45:$B$57,0),MATCH($AA$44,$A$45:$H$45,0))*고양시_Modal_split!D$4 * 0.01</f>
        <v>557.00962342174705</v>
      </c>
      <c r="AC54" s="207">
        <f>INDEX($A$45:$H$57,MATCH($L54,$B$45:$B$57,0),MATCH($AA$44,$A$45:$H$45,0))*고양시_Modal_split!E$4 * 0.01</f>
        <v>134.95368799460476</v>
      </c>
      <c r="AD54" s="207">
        <f>INDEX($A$45:$H$57,MATCH($L54,$B$45:$B$57,0),MATCH($AA$44,$A$45:$H$45,0))*고양시_Modal_split!F$4 * 0.01</f>
        <v>16.500129162789513</v>
      </c>
      <c r="AE54" s="207">
        <f>INDEX($A$45:$H$57,MATCH($L54,$B$45:$B$57,0),MATCH($AA$44,$A$45:$H$45,0))*고양시_Modal_split!G$4 * 0.01</f>
        <v>203.38580262764756</v>
      </c>
      <c r="AF54" s="207">
        <f>INDEX($A$45:$H$57,MATCH($L54,$B$45:$B$57,0),MATCH($AA$44,$A$45:$H$45,0))*고양시_Modal_split!H$4 * 0.01</f>
        <v>0</v>
      </c>
      <c r="AG54" s="207">
        <f>INDEX($A$45:$H$57,MATCH($L54,$B$45:$B$57,0),MATCH($AA$44,$A$45:$H$45,0))*고양시_Modal_split!I$4 * 0.01</f>
        <v>60.442578406849996</v>
      </c>
      <c r="AH54" s="207">
        <f>INDEX($A$45:$H$57,MATCH($L54,$B$45:$B$57,0),MATCH($AA$44,$A$45:$H$45,0))*고양시_Modal_split!J$4 * 0.01</f>
        <v>81.805903533409065</v>
      </c>
      <c r="AI54" s="207">
        <f>INDEX($A$45:$H$57,MATCH($L54,$B$45:$B$57,0),MATCH($AA$44,$A$45:$H$45,0))*고양시_Modal_split!K$4 * 0.01</f>
        <v>0</v>
      </c>
      <c r="AJ54" s="207">
        <f>INDEX($A$45:$H$57,MATCH($L54,$B$45:$B$57,0),MATCH($AA$44,$A$45:$H$45,0))*고양시_Modal_split!L$4 * 0.01</f>
        <v>80.24273340219743</v>
      </c>
      <c r="AK54" s="207">
        <f>INDEX($A$45:$H$57,MATCH($L54,$B$45:$B$57,0),MATCH($AA$44,$A$45:$H$45,0))*고양시_Modal_split!M$4 * 0.01</f>
        <v>11.636933199019973</v>
      </c>
      <c r="AL54" s="207">
        <f>INDEX($A$45:$H$57,MATCH($L54,$B$45:$B$57,0),MATCH($AA$44,$A$45:$H$45,0))*고양시_Modal_split!N$4 * 0.01</f>
        <v>43.421392533656615</v>
      </c>
      <c r="AM54" s="207">
        <f>INDEX($A$45:$H$57,MATCH($L54,$B$45:$B$57,0),MATCH($AA$44,$A$45:$H$45,0))*고양시_Modal_split!O$4 * 0.01</f>
        <v>18.758041574539661</v>
      </c>
      <c r="AN54" s="214">
        <f>INDEX($A$45:$H$57,MATCH($L54,$B$45:$B$57,0),MATCH($AA$44,$A$45:$H$45,0))*고양시_Modal_split!P$4 * 0.01</f>
        <v>1736.8557013462648</v>
      </c>
      <c r="AO54" s="213">
        <f>INDEX($A$45:$H$57,MATCH($L54,$B$45:$B$57,0),MATCH($AO$44,$A$45:$H$45,0))*고양시_Modal_split!C$5 * 0.01</f>
        <v>4.6192045347834575E-2</v>
      </c>
      <c r="AP54" s="207">
        <f>INDEX($A$45:$H$57,MATCH($L54,$B$45:$B$57,0),MATCH($AO$44,$A$45:$H$45,0))*고양시_Modal_split!D$5 * 0.01</f>
        <v>56.415884718155297</v>
      </c>
      <c r="AQ54" s="207">
        <f>INDEX($A$45:$H$57,MATCH($L54,$B$45:$B$57,0),MATCH($AO$44,$A$45:$H$45,0))*고양시_Modal_split!E$5 * 0.01</f>
        <v>7.5831941112695098</v>
      </c>
      <c r="AR54" s="207">
        <f>INDEX($A$45:$H$57,MATCH($L54,$B$45:$B$57,0),MATCH($AO$44,$A$45:$H$45,0))*고양시_Modal_split!F$5 * 0.01</f>
        <v>1.6167215871742102</v>
      </c>
      <c r="AS54" s="207">
        <f>INDEX($A$45:$H$57,MATCH($L54,$B$45:$B$57,0),MATCH($AO$44,$A$45:$H$45,0))*고양시_Modal_split!G$5 * 0.01</f>
        <v>0.50041382460154127</v>
      </c>
      <c r="AT54" s="207">
        <f>INDEX($A$45:$H$57,MATCH($L54,$B$45:$B$57,0),MATCH($AO$44,$A$45:$H$45,0))*고양시_Modal_split!H$5 * 0.01</f>
        <v>5.3890719572473669E-2</v>
      </c>
      <c r="AU54" s="207">
        <f>INDEX($A$45:$H$57,MATCH($L54,$B$45:$B$57,0),MATCH($AO$44,$A$45:$H$45,0))*고양시_Modal_split!I$5 * 0.01</f>
        <v>2.1325327602250299</v>
      </c>
      <c r="AV54" s="207">
        <f>INDEX($A$45:$H$57,MATCH($L54,$B$45:$B$57,0),MATCH($AO$44,$A$45:$H$45,0))*고양시_Modal_split!J$5 * 0.01</f>
        <v>4.8270687388487135</v>
      </c>
      <c r="AW54" s="207">
        <f>INDEX($A$45:$H$57,MATCH($L54,$B$45:$B$57,0),MATCH($AO$44,$A$45:$H$45,0))*고양시_Modal_split!K$5 * 0.01</f>
        <v>1.5397348449278193E-2</v>
      </c>
      <c r="AX54" s="207">
        <f>INDEX($A$45:$H$57,MATCH($L54,$B$45:$B$57,0),MATCH($AO$44,$A$45:$H$45,0))*고양시_Modal_split!L$5 * 0.01</f>
        <v>1.9631619272829692</v>
      </c>
      <c r="AY54" s="207">
        <f>INDEX($A$45:$H$57,MATCH($L54,$B$45:$B$57,0),MATCH($AO$44,$A$45:$H$45,0))*고양시_Modal_split!M$5 * 0.01</f>
        <v>0.51581117305081947</v>
      </c>
      <c r="AZ54" s="207">
        <f>INDEX($A$45:$H$57,MATCH($L54,$B$45:$B$57,0),MATCH($AO$44,$A$45:$H$45,0))*고양시_Modal_split!N$5 * 0.01</f>
        <v>0.13087746181886462</v>
      </c>
      <c r="BA54" s="207">
        <f>INDEX($A$45:$H$57,MATCH($L54,$B$45:$B$57,0),MATCH($AO$44,$A$45:$H$45,0))*고양시_Modal_split!O$5 * 0.01</f>
        <v>1.1855958305944208</v>
      </c>
      <c r="BB54" s="214">
        <f>INDEX($A$45:$H$57,MATCH($L54,$B$45:$B$57,0),MATCH($AO$44,$A$45:$H$45,0))*고양시_Modal_split!P$5 * 0.01</f>
        <v>76.986742246390946</v>
      </c>
      <c r="BC54" s="213">
        <f>INDEX($A$45:$H$57,MATCH($L54,$B$45:$B$57,0),MATCH($BC$44,$A$45:$H$45,0))*고양시_Modal_split!C$6 * 0.01</f>
        <v>0</v>
      </c>
      <c r="BD54" s="207">
        <f>INDEX($A$45:$H$57,MATCH($L54,$B$45:$B$57,0),MATCH($BC$44,$A$45:$H$45,0))*고양시_Modal_split!D$6 * 0.01</f>
        <v>0.17288873560470935</v>
      </c>
      <c r="BE54" s="207">
        <f>INDEX($A$45:$H$57,MATCH($L54,$B$45:$B$57,0),MATCH($BC$44,$A$45:$H$45,0))*고양시_Modal_split!E$6 * 0.01</f>
        <v>8.9774370619520626E-4</v>
      </c>
      <c r="BF54" s="207">
        <f>INDEX($A$45:$H$57,MATCH($L54,$B$45:$B$57,0),MATCH($BC$44,$A$45:$H$45,0))*고양시_Modal_split!F$6 * 0.01</f>
        <v>2.5470867943212828E-3</v>
      </c>
      <c r="BG54" s="207">
        <f>INDEX($A$45:$H$57,MATCH($L54,$B$45:$B$57,0),MATCH($BC$44,$A$45:$H$45,0))*고양시_Modal_split!G$6 * 0.01</f>
        <v>0</v>
      </c>
      <c r="BH54" s="207">
        <f>INDEX($A$45:$H$57,MATCH($L54,$B$45:$B$57,0),MATCH($BC$44,$A$45:$H$45,0))*고양시_Modal_split!H$6 * 0.01</f>
        <v>1.1086090883480339E-2</v>
      </c>
      <c r="BI54" s="207">
        <f>INDEX($A$45:$H$57,MATCH($L54,$B$45:$B$57,0),MATCH($BC$44,$A$45:$H$45,0))*고양시_Modal_split!I$6 * 0.01</f>
        <v>7.3907272556535588E-3</v>
      </c>
      <c r="BJ54" s="207">
        <f>INDEX($A$45:$H$57,MATCH($L54,$B$45:$B$57,0),MATCH($BC$44,$A$45:$H$45,0))*고양시_Modal_split!J$6 * 0.01</f>
        <v>1.0313613740940275E-2</v>
      </c>
      <c r="BK54" s="207">
        <f>INDEX($A$45:$H$57,MATCH($L54,$B$45:$B$57,0),MATCH($BC$44,$A$45:$H$45,0))*고양시_Modal_split!K$6 * 0.01</f>
        <v>0</v>
      </c>
      <c r="BL54" s="207">
        <f>INDEX($A$45:$H$57,MATCH($L54,$B$45:$B$57,0),MATCH($BC$44,$A$45:$H$45,0))*고양시_Modal_split!L$6 * 0.01</f>
        <v>1.586709806298504E-3</v>
      </c>
      <c r="BM54" s="207">
        <f>INDEX($A$45:$H$57,MATCH($L54,$B$45:$B$57,0),MATCH($BC$44,$A$45:$H$45,0))*고양시_Modal_split!M$6 * 0.01</f>
        <v>1.8998762154363669E-3</v>
      </c>
      <c r="BN54" s="207">
        <f>INDEX($A$45:$H$57,MATCH($L54,$B$45:$B$57,0),MATCH($BC$44,$A$45:$H$45,0))*고양시_Modal_split!N$6 * 0.01</f>
        <v>0</v>
      </c>
      <c r="BO54" s="207">
        <f>INDEX($A$45:$H$57,MATCH($L54,$B$45:$B$57,0),MATCH($BC$44,$A$45:$H$45,0))*고양시_Modal_split!O$6 * 0.01</f>
        <v>1.6702208487352676E-4</v>
      </c>
      <c r="BP54" s="214">
        <f>INDEX($A$45:$H$57,MATCH($L54,$B$45:$B$57,0),MATCH($BC$44,$A$45:$H$45,0))*고양시_Modal_split!P$6 * 0.01</f>
        <v>0.20877760609190843</v>
      </c>
      <c r="BQ54" s="213">
        <f>INDEX($A$45:$H$57,MATCH($L54,$B$45:$B$57,0),MATCH($BQ$44,$A$45:$H$45,0))*고양시_Modal_split!C$7 * 0.01</f>
        <v>0</v>
      </c>
      <c r="BR54" s="207">
        <f>INDEX($A$45:$H$57,MATCH($L54,$B$45:$B$57,0),MATCH($BQ$44,$A$45:$H$45,0))*고양시_Modal_split!D$7 * 0.01</f>
        <v>0.36249359820384242</v>
      </c>
      <c r="BS54" s="207">
        <f>INDEX($A$45:$H$57,MATCH($L54,$B$45:$B$57,0),MATCH($BQ$44,$A$45:$H$45,0))*고양시_Modal_split!E$7 * 0.01</f>
        <v>1.7686942862752755E-2</v>
      </c>
      <c r="BT54" s="207">
        <f>INDEX($A$45:$H$57,MATCH($L54,$B$45:$B$57,0),MATCH($BQ$44,$A$45:$H$45,0))*고양시_Modal_split!F$7 * 0.01</f>
        <v>5.9153655059373767E-3</v>
      </c>
      <c r="BU54" s="207">
        <f>INDEX($A$45:$H$57,MATCH($L54,$B$45:$B$57,0),MATCH($BQ$44,$A$45:$H$45,0))*고양시_Modal_split!G$7 * 0.01</f>
        <v>2.4844535124936983E-3</v>
      </c>
      <c r="BV54" s="207">
        <f>INDEX($A$45:$H$57,MATCH($L54,$B$45:$B$57,0),MATCH($BQ$44,$A$45:$H$45,0))*고양시_Modal_split!H$7 * 0.01</f>
        <v>3.3066893178189935E-2</v>
      </c>
      <c r="BW54" s="207">
        <f>INDEX($A$45:$H$57,MATCH($L54,$B$45:$B$57,0),MATCH($BQ$44,$A$45:$H$45,0))*고양시_Modal_split!I$7 * 0.01</f>
        <v>0.11043987399585083</v>
      </c>
      <c r="BX54" s="207">
        <f>INDEX($A$45:$H$57,MATCH($L54,$B$45:$B$57,0),MATCH($BQ$44,$A$45:$H$45,0))*고양시_Modal_split!J$7 * 0.01</f>
        <v>1.1830731011874754E-4</v>
      </c>
      <c r="BY54" s="207">
        <f>INDEX($A$45:$H$57,MATCH($L54,$B$45:$B$57,0),MATCH($BQ$44,$A$45:$H$45,0))*고양시_Modal_split!K$7 * 0.01</f>
        <v>4.5548314395717798E-2</v>
      </c>
      <c r="BZ54" s="207">
        <f>INDEX($A$45:$H$57,MATCH($L54,$B$45:$B$57,0),MATCH($BQ$44,$A$45:$H$45,0))*고양시_Modal_split!L$7 * 0.01</f>
        <v>4.1407558541561634E-4</v>
      </c>
      <c r="CA54" s="207">
        <f>INDEX($A$45:$H$57,MATCH($L54,$B$45:$B$57,0),MATCH($BQ$44,$A$45:$H$45,0))*고양시_Modal_split!M$7 * 0.01</f>
        <v>1.1061733496102896E-2</v>
      </c>
      <c r="CB54" s="207">
        <f>INDEX($A$45:$H$57,MATCH($L54,$B$45:$B$57,0),MATCH($BQ$44,$A$45:$H$45,0))*고양시_Modal_split!N$7 * 0.01</f>
        <v>2.3069925473155769E-3</v>
      </c>
      <c r="CC54" s="207">
        <f>INDEX($A$45:$H$57,MATCH($L54,$B$45:$B$57,0),MATCH($BQ$44,$A$45:$H$45,0))*고양시_Modal_split!O$7 * 0.01</f>
        <v>0</v>
      </c>
      <c r="CD54" s="214">
        <f>INDEX($A$45:$H$57,MATCH($L54,$B$45:$B$57,0),MATCH($BQ$44,$A$45:$H$45,0))*고양시_Modal_split!P$7 * 0.01</f>
        <v>0.59153655059373766</v>
      </c>
      <c r="CE54" s="218">
        <f t="shared" si="22"/>
        <v>529.37046781345271</v>
      </c>
      <c r="CF54" s="208">
        <f t="shared" si="5"/>
        <v>719.0058015041958</v>
      </c>
      <c r="CG54" s="208">
        <f t="shared" si="6"/>
        <v>155.2644938765057</v>
      </c>
      <c r="CH54" s="208">
        <f t="shared" si="7"/>
        <v>38.607172316649404</v>
      </c>
      <c r="CI54" s="208">
        <f t="shared" si="8"/>
        <v>205.94358753446767</v>
      </c>
      <c r="CJ54" s="208">
        <f t="shared" si="9"/>
        <v>0.12037942785920984</v>
      </c>
      <c r="CK54" s="208">
        <f t="shared" si="10"/>
        <v>68.902273102894839</v>
      </c>
      <c r="CL54" s="208">
        <f t="shared" si="11"/>
        <v>154.63334873440942</v>
      </c>
      <c r="CM54" s="208">
        <f t="shared" si="12"/>
        <v>0.39598152622098437</v>
      </c>
      <c r="CN54" s="208">
        <f t="shared" si="13"/>
        <v>88.953284830842009</v>
      </c>
      <c r="CO54" s="208">
        <f t="shared" si="14"/>
        <v>12.679427638958847</v>
      </c>
      <c r="CP54" s="208">
        <f t="shared" si="15"/>
        <v>43.777934230273452</v>
      </c>
      <c r="CQ54" s="208">
        <f t="shared" si="16"/>
        <v>20.34584746327014</v>
      </c>
      <c r="CR54" s="219">
        <f t="shared" si="17"/>
        <v>2038.0000000000002</v>
      </c>
      <c r="CS54" s="225">
        <f t="shared" si="23"/>
        <v>0</v>
      </c>
      <c r="CV54" s="265" t="s">
        <v>433</v>
      </c>
      <c r="CW54" s="271" t="s">
        <v>23</v>
      </c>
      <c r="CX54" s="267">
        <f>INDEX($M$44:$Z$57,MATCH($CW54,$L$44:$L$57,0),MATCH(CX$45,$M$45:$Z$45,0))/INDEX(고양시_재차인원!$D$4:$H$35,MATCH("고양시",고양시_재차인원!$B$4:$B$35,0),MATCH('A.일산테크노밸리(859991)_수정'!$CX$44,고양시_재차인원!$D$4:$H$4,0))</f>
        <v>93.790099134361483</v>
      </c>
      <c r="CY54" s="267">
        <f>INDEX($M$44:$Z$57,MATCH($CW54,$L$44:$L$57,0),MATCH(CY$45,$M$45:$Z$45,0))/INDEX(고양시_재차인원!$K$4:$O$20,MATCH("경기도",고양시_재차인원!$K$4:$K$20,0),MATCH('A.일산테크노밸리(859991)_수정'!CY$45,고양시_재차인원!$K$4:$O$4,0))</f>
        <v>7.7581536037047208E-4</v>
      </c>
      <c r="CZ54" s="267">
        <f>INDEX($M$44:$Z$57,MATCH($CW54,$L$44:$L$57,0),MATCH(CZ$45,$M$45:$Z$45,0))/INDEX(고양시_재차인원!$K$4:$O$20,MATCH("경기도",고양시_재차인원!$K$4:$K$20,0),MATCH('A.일산테크노밸리(859991)_수정'!CZ$45,고양시_재차인원!$K$4:$O$4,0))</f>
        <v>0.21567667018299122</v>
      </c>
      <c r="DA54" s="267">
        <f>INDEX($M$44:$Z$57,MATCH($CW54,$L$44:$L$57,0),MATCH(DA$45,$M$45:$Z$45,0))/INDEX(고양시_재차인원!$K$4:$O$20,MATCH("경기도",고양시_재차인원!$K$4:$K$20,0),MATCH('A.일산테크노밸리(859991)_수정'!DA$45,고양시_재차인원!$K$4:$O$4,0))</f>
        <v>4.4969258106465988</v>
      </c>
      <c r="DB54" s="268">
        <f>INDEX($AA$44:$AN$57,MATCH($CW54,$L$44:$L$57,0),MATCH(DB$45,$AA$45:$AN$45,0))/INDEX(고양시_재차인원!$D$4:$H$35,MATCH("고양시",고양시_재차인원!$B$4:$B$35,0),MATCH('A.일산테크노밸리(859991)_수정'!$DB$44,고양시_재차인원!$D$4:$H$4,0))</f>
        <v>395.04228611471422</v>
      </c>
      <c r="DC54" s="267">
        <f>INDEX($AA$44:$AN$57,MATCH($CW54,$L$44:$L$57,0),MATCH(DC$45,$AA$45:$AN$45,0))/INDEX(고양시_재차인원!$K$4:$O$20,MATCH("경기도",고양시_재차인원!$K$4:$K$20,0),MATCH('A.일산테크노밸리(859991)_수정'!DC$45,고양시_재차인원!$K$4:$O$4,0))</f>
        <v>0</v>
      </c>
      <c r="DD54" s="267">
        <f>INDEX($AA$44:$AN$57,MATCH($CW54,$L$44:$L$57,0),MATCH(DD$45,$AA$45:$AN$45,0))/INDEX(고양시_재차인원!$K$4:$O$20,MATCH("경기도",고양시_재차인원!$K$4:$K$20,0),MATCH('A.일산테크노밸리(859991)_수정'!DD$45,고양시_재차인원!$K$4:$O$4,0))</f>
        <v>2.099429607740535</v>
      </c>
      <c r="DE54" s="267">
        <f>INDEX($AA$44:$AN$57,MATCH($CW54,$L$44:$L$57,0),MATCH(DE$45,$AA$45:$AN$45,0))/INDEX(고양시_재차인원!$K$4:$O$20,MATCH("경기도",고양시_재차인원!$K$4:$K$20,0),MATCH('A.일산테크노밸리(859991)_수정'!DE$45,고양시_재차인원!$K$4:$O$4,0))</f>
        <v>53.495155601464951</v>
      </c>
      <c r="DF54" s="268">
        <f>INDEX($AO$44:$BB$57,MATCH($CW54,$L$44:$L$57,0),MATCH(DF$45,$AO$45:$BB$45,0))/INDEX(고양시_재차인원!$D$4:$H$35,MATCH("고양시",고양시_재차인원!$B$4:$B$35,0),MATCH('A.일산테크노밸리(859991)_수정'!$DF$44,고양시_재차인원!$D$4:$H$4,0))</f>
        <v>43.396834398580999</v>
      </c>
      <c r="DG54" s="267">
        <f>INDEX($AO$44:$BB$57,MATCH($CW54,$L$44:$L$57,0),MATCH(DG$45,$AO$45:$BB$45,0))/INDEX(고양시_재차인원!$K$4:$O$20,MATCH("경기도",고양시_재차인원!$K$4:$K$20,0),MATCH('A.일산테크노밸리(859991)_수정'!DG$45,고양시_재차인원!$K$4:$O$4,0))</f>
        <v>1.8718554905339934E-3</v>
      </c>
      <c r="DH54" s="267">
        <f>INDEX($AO$44:$BB$57,MATCH($CW54,$L$44:$L$57,0),MATCH(DH$45,$AO$45:$BB$45,0))/INDEX(고양시_재차인원!$K$4:$O$20,MATCH("경기도",고양시_재차인원!$K$4:$K$20,0),MATCH('A.일산테크노밸리(859991)_수정'!DH$45,고양시_재차인원!$K$4:$O$4,0))</f>
        <v>7.4071995839702323E-2</v>
      </c>
      <c r="DI54" s="267">
        <f>INDEX($AO$44:$BB$57,MATCH($CW54,$L$44:$L$57,0),MATCH(DI$45,$AO$45:$BB$45,0))/INDEX(고양시_재차인원!$K$4:$O$20,MATCH("경기도",고양시_재차인원!$K$4:$K$20,0),MATCH('A.일산테크노밸리(859991)_수정'!DI$45,고양시_재차인원!$K$4:$O$4,0))</f>
        <v>1.3087746181886462</v>
      </c>
      <c r="DJ54" s="268">
        <f>INDEX($BC$44:$BP$57,MATCH($CW54,$L$44:$L$57,0),MATCH(DJ$45,$BC$45:$BP$45,0))/INDEX(고양시_재차인원!$D$4:$H$35,MATCH("고양시",고양시_재차인원!$B$4:$B$35,0),MATCH('A.일산테크노밸리(859991)_수정'!$DJ$44,고양시_재차인원!$D$4:$H$4,0))</f>
        <v>0.12712407029758041</v>
      </c>
      <c r="DK54" s="267">
        <f>INDEX($BC$44:$BP$57,MATCH($CW54,$L$44:$L$57,0),MATCH(DK$45,$BC$45:$BP$45,0))/INDEX(고양시_재차인원!$K$4:$O$20,MATCH("경기도",고양시_재차인원!$K$4:$K$20,0),MATCH('A.일산테크노밸리(859991)_수정'!DK$45,고양시_재차인원!$K$4:$O$4,0))</f>
        <v>3.8506741519556581E-4</v>
      </c>
      <c r="DL54" s="267">
        <f>INDEX($BC$44:$BP$57,MATCH($CW54,$L$44:$L$57,0),MATCH(DL$45,$BC$45:$BP$45,0))/INDEX(고양시_재차인원!$K$4:$O$20,MATCH("경기도",고양시_재차인원!$K$4:$K$20,0),MATCH('A.일산테크노밸리(859991)_수정'!DL$45,고양시_재차인원!$K$4:$O$4,0))</f>
        <v>2.5671161013037717E-4</v>
      </c>
      <c r="DM54" s="267">
        <f>INDEX($BC$44:$BP$57,MATCH($CW54,$L$44:$L$57,0),MATCH(DM$45,$BC$45:$BP$45,0))/INDEX(고양시_재차인원!$K$4:$O$20,MATCH("경기도",고양시_재차인원!$K$4:$K$20,0),MATCH('A.일산테크노밸리(859991)_수정'!DM$45,고양시_재차인원!$K$4:$O$4,0))</f>
        <v>1.057806537532336E-3</v>
      </c>
      <c r="DN54" s="268">
        <f>INDEX($BQ$44:$CD$57,MATCH($CW54,$L$44:$L$57,0),MATCH(DN$45,$BQ$45:$CD$45,0))/INDEX(고양시_재차인원!$D$4:$H$35,MATCH("고양시",고양시_재차인원!$B$4:$B$35,0),MATCH('A.일산테크노밸리(859991)_수정'!$DN$44,고양시_재차인원!$D$4:$H$4,0))</f>
        <v>0.28769333190781143</v>
      </c>
      <c r="DO54" s="267">
        <f>INDEX($BQ$44:$CD$57,MATCH($CW54,$L$44:$L$57,0),MATCH(DO$45,$BQ$45:$CD$45,0))/INDEX(고양시_재차인원!$K$4:$O$20,MATCH("경기도",고양시_재차인원!$K$4:$K$20,0),MATCH('A.일산테크노밸리(859991)_수정'!DO$45,고양시_재차인원!$K$4:$O$4,0))</f>
        <v>1.1485548168874587E-3</v>
      </c>
      <c r="DP54" s="267">
        <f>INDEX($BQ$44:$CD$57,MATCH($CW54,$L$44:$L$57,0),MATCH(DP$45,$BQ$45:$CD$45,0))/INDEX(고양시_재차인원!$K$4:$O$20,MATCH("경기도",고양시_재차인원!$K$4:$K$20,0),MATCH('A.일산테크노밸리(859991)_수정'!DP$45,고양시_재차인원!$K$4:$O$4,0))</f>
        <v>3.8360498088173263E-3</v>
      </c>
      <c r="DQ54" s="267">
        <f>INDEX($BQ$44:$CD$57,MATCH($CW54,$L$44:$L$57,0),MATCH(DQ$45,$BQ$45:$CD$45,0))/INDEX(고양시_재차인원!$K$4:$O$20,MATCH("경기도",고양시_재차인원!$K$4:$K$20,0),MATCH('A.일산테크노밸리(859991)_수정'!DQ$45,고양시_재차인원!$K$4:$O$4,0))</f>
        <v>2.7605039027707754E-4</v>
      </c>
      <c r="DR54" s="269">
        <f t="shared" si="24"/>
        <v>532.64403704986205</v>
      </c>
      <c r="DS54" s="270">
        <f t="shared" si="18"/>
        <v>4.1812930829874893E-3</v>
      </c>
      <c r="DT54" s="270">
        <f t="shared" si="19"/>
        <v>2.3932710351821758</v>
      </c>
      <c r="DU54" s="270">
        <f t="shared" si="20"/>
        <v>59.302189887228003</v>
      </c>
      <c r="DW54" s="278"/>
      <c r="DX54" s="278" t="s">
        <v>482</v>
      </c>
      <c r="DY54" s="281">
        <f>DR56+DU56</f>
        <v>99.916340562492152</v>
      </c>
      <c r="DZ54" s="281">
        <f>DS56+DT56</f>
        <v>0.40467301321060656</v>
      </c>
      <c r="EC54" s="412" t="s">
        <v>15</v>
      </c>
      <c r="ED54" s="412" t="s">
        <v>574</v>
      </c>
      <c r="EE54" s="412">
        <v>21685.084499999997</v>
      </c>
      <c r="EF54" s="412">
        <v>0.10071399380839066</v>
      </c>
      <c r="EG54" s="413">
        <v>859009</v>
      </c>
      <c r="EH54" s="414">
        <f t="shared" si="27"/>
        <v>741.9181995103537</v>
      </c>
      <c r="EI54" s="415">
        <f t="shared" si="28"/>
        <v>3.0048565796288624</v>
      </c>
      <c r="EJ54" s="402">
        <v>0</v>
      </c>
      <c r="EM54" s="278" t="s">
        <v>15</v>
      </c>
      <c r="EN54" s="278" t="s">
        <v>574</v>
      </c>
      <c r="EO54" s="278">
        <v>21685.084499999997</v>
      </c>
      <c r="EP54" s="278">
        <v>0.10071399380839066</v>
      </c>
      <c r="EQ54" s="289">
        <v>859009</v>
      </c>
      <c r="ER54" s="290">
        <f t="shared" si="29"/>
        <v>741.9181995103537</v>
      </c>
      <c r="ES54" s="291">
        <f t="shared" si="21"/>
        <v>3.0048565796288624</v>
      </c>
      <c r="ET54" s="402">
        <v>0</v>
      </c>
      <c r="EV54" s="34"/>
      <c r="EW54" s="34"/>
      <c r="EX54" s="34"/>
      <c r="EY54" s="34"/>
      <c r="EZ54" s="378"/>
      <c r="FA54" s="401"/>
      <c r="FB54" s="402"/>
      <c r="FC54" s="402"/>
    </row>
    <row r="55" spans="1:159" ht="16.5" customHeight="1">
      <c r="A55" s="205"/>
      <c r="B55" s="205" t="s">
        <v>144</v>
      </c>
      <c r="C55" s="400">
        <f>'A.일산테크노밸리(859991)_수정'!$P38*KTDB_TripDistribution_2025!L$12</f>
        <v>119.5695541194646</v>
      </c>
      <c r="D55" s="400">
        <f>'A.일산테크노밸리(859991)_수정'!$P38*KTDB_TripDistribution_2025!M$12</f>
        <v>929.78879792383441</v>
      </c>
      <c r="E55" s="400">
        <f>'A.일산테크노밸리(859991)_수정'!$P38*KTDB_TripDistribution_2025!N$12</f>
        <v>41.213216776649915</v>
      </c>
      <c r="F55" s="400">
        <f>'A.일산테크노밸리(859991)_수정'!$P38*KTDB_TripDistribution_2025!O$12</f>
        <v>0.11176465566549171</v>
      </c>
      <c r="G55" s="400">
        <f>'A.일산테크노밸리(859991)_수정'!$P38*KTDB_TripDistribution_2025!P$12</f>
        <v>0.31666652438555826</v>
      </c>
      <c r="H55" s="400">
        <f>'A.일산테크노밸리(859991)_수정'!$P38*KTDB_TripDistribution_2025!Q$12</f>
        <v>1091</v>
      </c>
      <c r="J55" s="230">
        <f t="shared" si="4"/>
        <v>1090.9999999999998</v>
      </c>
      <c r="K55" s="206"/>
      <c r="L55" s="209" t="s">
        <v>24</v>
      </c>
      <c r="M55" s="213">
        <f>INDEX($A$45:$H$57,MATCH($L55,$B$45:$B$57,0),MATCH($M$44,$A$45:$H$45,0))*고양시_Modal_split!C$3 * 0.01</f>
        <v>0.33479475153450083</v>
      </c>
      <c r="N55" s="207">
        <f>INDEX($A$45:$H$57,MATCH($L55,$B$45:$B$57,0),MATCH($M$44,$A$45:$H$45,0))*고양시_Modal_split!D$3 * 0.01</f>
        <v>56.233561302384203</v>
      </c>
      <c r="O55" s="207">
        <f>INDEX($A$45:$H$57,MATCH($L55,$B$45:$B$57,0),MATCH($M$44,$A$45:$H$45,0))*고양시_Modal_split!E$3 * 0.01</f>
        <v>6.8035076293975356</v>
      </c>
      <c r="P55" s="207">
        <f>INDEX($A$45:$H$57,MATCH($L55,$B$45:$B$57,0),MATCH($M$44,$A$45:$H$45,0))*고양시_Modal_split!F$3 * 0.01</f>
        <v>10.964528112754904</v>
      </c>
      <c r="Q55" s="207">
        <f>INDEX($A$45:$H$57,MATCH($L55,$B$45:$B$57,0),MATCH($M$44,$A$45:$H$45,0))*고양시_Modal_split!G$3 * 0.01</f>
        <v>1.1000398978990742</v>
      </c>
      <c r="R55" s="207">
        <f>INDEX($A$45:$H$57,MATCH($L55,$B$45:$B$57,0),MATCH($M$44,$A$45:$H$45,0))*고양시_Modal_split!H$3 * 0.01</f>
        <v>1.195695541194646E-2</v>
      </c>
      <c r="S55" s="207">
        <f>INDEX($A$45:$H$57,MATCH($L55,$B$45:$B$57,0),MATCH($M$44,$A$45:$H$45,0))*고양시_Modal_split!I$3 * 0.01</f>
        <v>3.3240336045211154</v>
      </c>
      <c r="T55" s="207">
        <f>INDEX($A$45:$H$57,MATCH($L55,$B$45:$B$57,0),MATCH($M$44,$A$45:$H$45,0))*고양시_Modal_split!J$3 * 0.01</f>
        <v>36.396972273965027</v>
      </c>
      <c r="U55" s="207">
        <f>INDEX($A$45:$H$57,MATCH($L55,$B$45:$B$57,0),MATCH($M$44,$A$45:$H$45,0))*고양시_Modal_split!K$3 * 0.01</f>
        <v>0.17935433117919691</v>
      </c>
      <c r="V55" s="207">
        <f>INDEX($A$45:$H$57,MATCH($L55,$B$45:$B$57,0),MATCH($M$44,$A$45:$H$45,0))*고양시_Modal_split!L$3 * 0.01</f>
        <v>3.6110005344078311</v>
      </c>
      <c r="W55" s="207">
        <f>INDEX($A$45:$H$57,MATCH($L55,$B$45:$B$57,0),MATCH($M$44,$A$45:$H$45,0))*고양시_Modal_split!M$3 * 0.01</f>
        <v>0.27500997447476855</v>
      </c>
      <c r="X55" s="207">
        <f>INDEX($A$45:$H$57,MATCH($L55,$B$45:$B$57,0),MATCH($M$44,$A$45:$H$45,0))*고양시_Modal_split!N$3 * 0.01</f>
        <v>0.1195695541194646</v>
      </c>
      <c r="Y55" s="207">
        <f>INDEX($A$45:$H$57,MATCH($L55,$B$45:$B$57,0),MATCH($M$44,$A$45:$H$45,0))*고양시_Modal_split!O$3 * 0.01</f>
        <v>0.21522519741503626</v>
      </c>
      <c r="Z55" s="214">
        <f>INDEX($A$45:$H$57,MATCH($L55,$B$45:$B$57,0),MATCH($M$44,$A$45:$H$45,0))*고양시_Modal_split!P$3 * 0.01</f>
        <v>119.5695541194646</v>
      </c>
      <c r="AA55" s="213">
        <f>INDEX($A$45:$H$57,MATCH($L55,$B$45:$B$57,0),MATCH($AA$44,$A$45:$H$45,0))*고양시_Modal_split!C$4 * 0.01</f>
        <v>283.02771008801523</v>
      </c>
      <c r="AB55" s="207">
        <f>INDEX($A$45:$H$57,MATCH($L55,$B$45:$B$57,0),MATCH($AA$44,$A$45:$H$45,0))*고양시_Modal_split!D$4 * 0.01</f>
        <v>298.18326749417372</v>
      </c>
      <c r="AC55" s="207">
        <f>INDEX($A$45:$H$57,MATCH($L55,$B$45:$B$57,0),MATCH($AA$44,$A$45:$H$45,0))*고양시_Modal_split!E$4 * 0.01</f>
        <v>72.244589598681941</v>
      </c>
      <c r="AD55" s="207">
        <f>INDEX($A$45:$H$57,MATCH($L55,$B$45:$B$57,0),MATCH($AA$44,$A$45:$H$45,0))*고양시_Modal_split!F$4 * 0.01</f>
        <v>8.8329935802764261</v>
      </c>
      <c r="AE55" s="207">
        <f>INDEX($A$45:$H$57,MATCH($L55,$B$45:$B$57,0),MATCH($AA$44,$A$45:$H$45,0))*고양시_Modal_split!G$4 * 0.01</f>
        <v>108.878268236881</v>
      </c>
      <c r="AF55" s="207">
        <f>INDEX($A$45:$H$57,MATCH($L55,$B$45:$B$57,0),MATCH($AA$44,$A$45:$H$45,0))*고양시_Modal_split!H$4 * 0.01</f>
        <v>0</v>
      </c>
      <c r="AG55" s="207">
        <f>INDEX($A$45:$H$57,MATCH($L55,$B$45:$B$57,0),MATCH($AA$44,$A$45:$H$45,0))*고양시_Modal_split!I$4 * 0.01</f>
        <v>32.356650167749436</v>
      </c>
      <c r="AH55" s="207">
        <f>INDEX($A$45:$H$57,MATCH($L55,$B$45:$B$57,0),MATCH($AA$44,$A$45:$H$45,0))*고양시_Modal_split!J$4 * 0.01</f>
        <v>43.793052382212601</v>
      </c>
      <c r="AI55" s="207">
        <f>INDEX($A$45:$H$57,MATCH($L55,$B$45:$B$57,0),MATCH($AA$44,$A$45:$H$45,0))*고양시_Modal_split!K$4 * 0.01</f>
        <v>0</v>
      </c>
      <c r="AJ55" s="207">
        <f>INDEX($A$45:$H$57,MATCH($L55,$B$45:$B$57,0),MATCH($AA$44,$A$45:$H$45,0))*고양시_Modal_split!L$4 * 0.01</f>
        <v>42.95624246408115</v>
      </c>
      <c r="AK55" s="207">
        <f>INDEX($A$45:$H$57,MATCH($L55,$B$45:$B$57,0),MATCH($AA$44,$A$45:$H$45,0))*고양시_Modal_split!M$4 * 0.01</f>
        <v>6.229584946089691</v>
      </c>
      <c r="AL55" s="207">
        <f>INDEX($A$45:$H$57,MATCH($L55,$B$45:$B$57,0),MATCH($AA$44,$A$45:$H$45,0))*고양시_Modal_split!N$4 * 0.01</f>
        <v>23.244719948095863</v>
      </c>
      <c r="AM55" s="207">
        <f>INDEX($A$45:$H$57,MATCH($L55,$B$45:$B$57,0),MATCH($AA$44,$A$45:$H$45,0))*고양시_Modal_split!O$4 * 0.01</f>
        <v>10.041719017577412</v>
      </c>
      <c r="AN55" s="214">
        <f>INDEX($A$45:$H$57,MATCH($L55,$B$45:$B$57,0),MATCH($AA$44,$A$45:$H$45,0))*고양시_Modal_split!P$4 * 0.01</f>
        <v>929.78879792383441</v>
      </c>
      <c r="AO55" s="213">
        <f>INDEX($A$45:$H$57,MATCH($L55,$B$45:$B$57,0),MATCH($AO$44,$A$45:$H$45,0))*고양시_Modal_split!C$5 * 0.01</f>
        <v>2.4727930065989948E-2</v>
      </c>
      <c r="AP55" s="207">
        <f>INDEX($A$45:$H$57,MATCH($L55,$B$45:$B$57,0),MATCH($AO$44,$A$45:$H$45,0))*고양시_Modal_split!D$5 * 0.01</f>
        <v>30.20104525392906</v>
      </c>
      <c r="AQ55" s="207">
        <f>INDEX($A$45:$H$57,MATCH($L55,$B$45:$B$57,0),MATCH($AO$44,$A$45:$H$45,0))*고양시_Modal_split!E$5 * 0.01</f>
        <v>4.0595018525000164</v>
      </c>
      <c r="AR55" s="207">
        <f>INDEX($A$45:$H$57,MATCH($L55,$B$45:$B$57,0),MATCH($AO$44,$A$45:$H$45,0))*고양시_Modal_split!F$5 * 0.01</f>
        <v>0.86547755230964829</v>
      </c>
      <c r="AS55" s="207">
        <f>INDEX($A$45:$H$57,MATCH($L55,$B$45:$B$57,0),MATCH($AO$44,$A$45:$H$45,0))*고양시_Modal_split!G$5 * 0.01</f>
        <v>0.26788590904822446</v>
      </c>
      <c r="AT55" s="207">
        <f>INDEX($A$45:$H$57,MATCH($L55,$B$45:$B$57,0),MATCH($AO$44,$A$45:$H$45,0))*고양시_Modal_split!H$5 * 0.01</f>
        <v>2.8849251743654936E-2</v>
      </c>
      <c r="AU55" s="207">
        <f>INDEX($A$45:$H$57,MATCH($L55,$B$45:$B$57,0),MATCH($AO$44,$A$45:$H$45,0))*고양시_Modal_split!I$5 * 0.01</f>
        <v>1.1416061047132027</v>
      </c>
      <c r="AV55" s="207">
        <f>INDEX($A$45:$H$57,MATCH($L55,$B$45:$B$57,0),MATCH($AO$44,$A$45:$H$45,0))*고양시_Modal_split!J$5 * 0.01</f>
        <v>2.5840686918959501</v>
      </c>
      <c r="AW55" s="207">
        <f>INDEX($A$45:$H$57,MATCH($L55,$B$45:$B$57,0),MATCH($AO$44,$A$45:$H$45,0))*고양시_Modal_split!K$5 * 0.01</f>
        <v>8.2426433553299833E-3</v>
      </c>
      <c r="AX55" s="207">
        <f>INDEX($A$45:$H$57,MATCH($L55,$B$45:$B$57,0),MATCH($AO$44,$A$45:$H$45,0))*고양시_Modal_split!L$5 * 0.01</f>
        <v>1.0509370278045729</v>
      </c>
      <c r="AY55" s="207">
        <f>INDEX($A$45:$H$57,MATCH($L55,$B$45:$B$57,0),MATCH($AO$44,$A$45:$H$45,0))*고양시_Modal_split!M$5 * 0.01</f>
        <v>0.27612855240355444</v>
      </c>
      <c r="AZ55" s="207">
        <f>INDEX($A$45:$H$57,MATCH($L55,$B$45:$B$57,0),MATCH($AO$44,$A$45:$H$45,0))*고양시_Modal_split!N$5 * 0.01</f>
        <v>7.0062468520304857E-2</v>
      </c>
      <c r="BA55" s="207">
        <f>INDEX($A$45:$H$57,MATCH($L55,$B$45:$B$57,0),MATCH($AO$44,$A$45:$H$45,0))*고양시_Modal_split!O$5 * 0.01</f>
        <v>0.63468353836040869</v>
      </c>
      <c r="BB55" s="214">
        <f>INDEX($A$45:$H$57,MATCH($L55,$B$45:$B$57,0),MATCH($AO$44,$A$45:$H$45,0))*고양시_Modal_split!P$5 * 0.01</f>
        <v>41.213216776649908</v>
      </c>
      <c r="BC55" s="213">
        <f>INDEX($A$45:$H$57,MATCH($L55,$B$45:$B$57,0),MATCH($BC$44,$A$45:$H$45,0))*고양시_Modal_split!C$6 * 0.01</f>
        <v>0</v>
      </c>
      <c r="BD55" s="207">
        <f>INDEX($A$45:$H$57,MATCH($L55,$B$45:$B$57,0),MATCH($BC$44,$A$45:$H$45,0))*고양시_Modal_split!D$6 * 0.01</f>
        <v>9.2552311356593669E-2</v>
      </c>
      <c r="BE55" s="207">
        <f>INDEX($A$45:$H$57,MATCH($L55,$B$45:$B$57,0),MATCH($BC$44,$A$45:$H$45,0))*고양시_Modal_split!E$6 * 0.01</f>
        <v>4.8058801936161431E-4</v>
      </c>
      <c r="BF55" s="207">
        <f>INDEX($A$45:$H$57,MATCH($L55,$B$45:$B$57,0),MATCH($BC$44,$A$45:$H$45,0))*고양시_Modal_split!F$6 * 0.01</f>
        <v>1.3635287991189988E-3</v>
      </c>
      <c r="BG55" s="207">
        <f>INDEX($A$45:$H$57,MATCH($L55,$B$45:$B$57,0),MATCH($BC$44,$A$45:$H$45,0))*고양시_Modal_split!G$6 * 0.01</f>
        <v>0</v>
      </c>
      <c r="BH55" s="207">
        <f>INDEX($A$45:$H$57,MATCH($L55,$B$45:$B$57,0),MATCH($BC$44,$A$45:$H$45,0))*고양시_Modal_split!H$6 * 0.01</f>
        <v>5.9347032158376103E-3</v>
      </c>
      <c r="BI55" s="207">
        <f>INDEX($A$45:$H$57,MATCH($L55,$B$45:$B$57,0),MATCH($BC$44,$A$45:$H$45,0))*고양시_Modal_split!I$6 * 0.01</f>
        <v>3.9564688105584072E-3</v>
      </c>
      <c r="BJ55" s="207">
        <f>INDEX($A$45:$H$57,MATCH($L55,$B$45:$B$57,0),MATCH($BC$44,$A$45:$H$45,0))*고양시_Modal_split!J$6 * 0.01</f>
        <v>5.5211739898752901E-3</v>
      </c>
      <c r="BK55" s="207">
        <f>INDEX($A$45:$H$57,MATCH($L55,$B$45:$B$57,0),MATCH($BC$44,$A$45:$H$45,0))*고양시_Modal_split!K$6 * 0.01</f>
        <v>0</v>
      </c>
      <c r="BL55" s="207">
        <f>INDEX($A$45:$H$57,MATCH($L55,$B$45:$B$57,0),MATCH($BC$44,$A$45:$H$45,0))*고양시_Modal_split!L$6 * 0.01</f>
        <v>8.4941138305773701E-4</v>
      </c>
      <c r="BM55" s="207">
        <f>INDEX($A$45:$H$57,MATCH($L55,$B$45:$B$57,0),MATCH($BC$44,$A$45:$H$45,0))*고양시_Modal_split!M$6 * 0.01</f>
        <v>1.0170583665559745E-3</v>
      </c>
      <c r="BN55" s="207">
        <f>INDEX($A$45:$H$57,MATCH($L55,$B$45:$B$57,0),MATCH($BC$44,$A$45:$H$45,0))*고양시_Modal_split!N$6 * 0.01</f>
        <v>0</v>
      </c>
      <c r="BO55" s="207">
        <f>INDEX($A$45:$H$57,MATCH($L55,$B$45:$B$57,0),MATCH($BC$44,$A$45:$H$45,0))*고양시_Modal_split!O$6 * 0.01</f>
        <v>8.9411724532393379E-5</v>
      </c>
      <c r="BP55" s="214">
        <f>INDEX($A$45:$H$57,MATCH($L55,$B$45:$B$57,0),MATCH($BC$44,$A$45:$H$45,0))*고양시_Modal_split!P$6 * 0.01</f>
        <v>0.11176465566549171</v>
      </c>
      <c r="BQ55" s="213">
        <f>INDEX($A$45:$H$57,MATCH($L55,$B$45:$B$57,0),MATCH($BQ$44,$A$45:$H$45,0))*고양시_Modal_split!C$7 * 0.01</f>
        <v>0</v>
      </c>
      <c r="BR55" s="207">
        <f>INDEX($A$45:$H$57,MATCH($L55,$B$45:$B$57,0),MATCH($BQ$44,$A$45:$H$45,0))*고양시_Modal_split!D$7 * 0.01</f>
        <v>0.19405324614347008</v>
      </c>
      <c r="BS55" s="207">
        <f>INDEX($A$45:$H$57,MATCH($L55,$B$45:$B$57,0),MATCH($BQ$44,$A$45:$H$45,0))*고양시_Modal_split!E$7 * 0.01</f>
        <v>9.4683290791281911E-3</v>
      </c>
      <c r="BT55" s="207">
        <f>INDEX($A$45:$H$57,MATCH($L55,$B$45:$B$57,0),MATCH($BQ$44,$A$45:$H$45,0))*고양시_Modal_split!F$7 * 0.01</f>
        <v>3.1666652438555828E-3</v>
      </c>
      <c r="BU55" s="207">
        <f>INDEX($A$45:$H$57,MATCH($L55,$B$45:$B$57,0),MATCH($BQ$44,$A$45:$H$45,0))*고양시_Modal_split!G$7 * 0.01</f>
        <v>1.3299994024193445E-3</v>
      </c>
      <c r="BV55" s="207">
        <f>INDEX($A$45:$H$57,MATCH($L55,$B$45:$B$57,0),MATCH($BQ$44,$A$45:$H$45,0))*고양시_Modal_split!H$7 * 0.01</f>
        <v>1.7701658713152706E-2</v>
      </c>
      <c r="BW55" s="207">
        <f>INDEX($A$45:$H$57,MATCH($L55,$B$45:$B$57,0),MATCH($BQ$44,$A$45:$H$45,0))*고양시_Modal_split!I$7 * 0.01</f>
        <v>5.9121640102783736E-2</v>
      </c>
      <c r="BX55" s="207">
        <f>INDEX($A$45:$H$57,MATCH($L55,$B$45:$B$57,0),MATCH($BQ$44,$A$45:$H$45,0))*고양시_Modal_split!J$7 * 0.01</f>
        <v>6.333330487711166E-5</v>
      </c>
      <c r="BY55" s="207">
        <f>INDEX($A$45:$H$57,MATCH($L55,$B$45:$B$57,0),MATCH($BQ$44,$A$45:$H$45,0))*고양시_Modal_split!K$7 * 0.01</f>
        <v>2.4383322377687987E-2</v>
      </c>
      <c r="BZ55" s="207">
        <f>INDEX($A$45:$H$57,MATCH($L55,$B$45:$B$57,0),MATCH($BQ$44,$A$45:$H$45,0))*고양시_Modal_split!L$7 * 0.01</f>
        <v>2.2166656706989075E-4</v>
      </c>
      <c r="CA55" s="207">
        <f>INDEX($A$45:$H$57,MATCH($L55,$B$45:$B$57,0),MATCH($BQ$44,$A$45:$H$45,0))*고양시_Modal_split!M$7 * 0.01</f>
        <v>5.92166400600994E-3</v>
      </c>
      <c r="CB55" s="207">
        <f>INDEX($A$45:$H$57,MATCH($L55,$B$45:$B$57,0),MATCH($BQ$44,$A$45:$H$45,0))*고양시_Modal_split!N$7 * 0.01</f>
        <v>1.2349994451036771E-3</v>
      </c>
      <c r="CC55" s="207">
        <f>INDEX($A$45:$H$57,MATCH($L55,$B$45:$B$57,0),MATCH($BQ$44,$A$45:$H$45,0))*고양시_Modal_split!O$7 * 0.01</f>
        <v>0</v>
      </c>
      <c r="CD55" s="214">
        <f>INDEX($A$45:$H$57,MATCH($L55,$B$45:$B$57,0),MATCH($BQ$44,$A$45:$H$45,0))*고양시_Modal_split!P$7 * 0.01</f>
        <v>0.31666652438555826</v>
      </c>
      <c r="CE55" s="218">
        <f t="shared" si="22"/>
        <v>283.38723276961571</v>
      </c>
      <c r="CF55" s="208">
        <f t="shared" si="5"/>
        <v>384.90447960798707</v>
      </c>
      <c r="CG55" s="208">
        <f t="shared" si="6"/>
        <v>83.117547997677974</v>
      </c>
      <c r="CH55" s="208">
        <f t="shared" si="7"/>
        <v>20.667529439383951</v>
      </c>
      <c r="CI55" s="208">
        <f t="shared" si="8"/>
        <v>110.24752404323071</v>
      </c>
      <c r="CJ55" s="208">
        <f t="shared" si="9"/>
        <v>6.4442569084591714E-2</v>
      </c>
      <c r="CK55" s="208">
        <f t="shared" si="10"/>
        <v>36.885367985897091</v>
      </c>
      <c r="CL55" s="208">
        <f t="shared" si="11"/>
        <v>82.779677855368334</v>
      </c>
      <c r="CM55" s="208">
        <f t="shared" si="12"/>
        <v>0.21198029691221487</v>
      </c>
      <c r="CN55" s="208">
        <f t="shared" si="13"/>
        <v>47.619251104243681</v>
      </c>
      <c r="CO55" s="208">
        <f t="shared" si="14"/>
        <v>6.7876621953405802</v>
      </c>
      <c r="CP55" s="208">
        <f t="shared" si="15"/>
        <v>23.435586970180736</v>
      </c>
      <c r="CQ55" s="208">
        <f t="shared" si="16"/>
        <v>10.89171716507739</v>
      </c>
      <c r="CR55" s="219">
        <f t="shared" si="17"/>
        <v>1090.9999999999998</v>
      </c>
      <c r="CS55" s="225">
        <f t="shared" si="23"/>
        <v>0</v>
      </c>
      <c r="CV55" s="265"/>
      <c r="CW55" s="266" t="s">
        <v>24</v>
      </c>
      <c r="CX55" s="267">
        <f>INDEX($M$44:$Z$57,MATCH($CW55,$L$44:$L$57,0),MATCH(CX$45,$M$45:$Z$45,0))/INDEX(고양시_재차인원!$D$4:$H$35,MATCH("고양시",고양시_재차인원!$B$4:$B$35,0),MATCH('A.일산테크노밸리(859991)_수정'!$CX$44,고양시_재차인원!$D$4:$H$4,0))</f>
        <v>50.208536877128751</v>
      </c>
      <c r="CY55" s="267">
        <f>INDEX($M$44:$Z$57,MATCH($CW55,$L$44:$L$57,0),MATCH(CY$45,$M$45:$Z$45,0))/INDEX(고양시_재차인원!$K$4:$O$20,MATCH("경기도",고양시_재차인원!$K$4:$K$20,0),MATCH('A.일산테크노밸리(859991)_수정'!CY$45,고양시_재차인원!$K$4:$O$4,0))</f>
        <v>4.1531626995298574E-4</v>
      </c>
      <c r="CZ55" s="267">
        <f>INDEX($M$44:$Z$57,MATCH($CW55,$L$44:$L$57,0),MATCH(CZ$45,$M$45:$Z$45,0))/INDEX(고양시_재차인원!$K$4:$O$20,MATCH("경기도",고양시_재차인원!$K$4:$K$20,0),MATCH('A.일산테크노밸리(859991)_수정'!CZ$45,고양시_재차인원!$K$4:$O$4,0))</f>
        <v>0.11545792304693003</v>
      </c>
      <c r="DA55" s="267">
        <f>INDEX($M$44:$Z$57,MATCH($CW55,$L$44:$L$57,0),MATCH(DA$45,$M$45:$Z$45,0))/INDEX(고양시_재차인원!$K$4:$O$20,MATCH("경기도",고양시_재차인원!$K$4:$K$20,0),MATCH('A.일산테크노밸리(859991)_수정'!DA$45,고양시_재차인원!$K$4:$O$4,0))</f>
        <v>2.4073336896052209</v>
      </c>
      <c r="DB55" s="268">
        <f>INDEX($AA$44:$AN$57,MATCH($CW55,$L$44:$L$57,0),MATCH(DB$45,$AA$45:$AN$45,0))/INDEX(고양시_재차인원!$D$4:$H$35,MATCH("고양시",고양시_재차인원!$B$4:$B$35,0),MATCH('A.일산테크노밸리(859991)_수정'!$DB$44,고양시_재차인원!$D$4:$H$4,0))</f>
        <v>211.47749467671898</v>
      </c>
      <c r="DC55" s="267">
        <f>INDEX($AA$44:$AN$57,MATCH($CW55,$L$44:$L$57,0),MATCH(DC$45,$AA$45:$AN$45,0))/INDEX(고양시_재차인원!$K$4:$O$20,MATCH("경기도",고양시_재차인원!$K$4:$K$20,0),MATCH('A.일산테크노밸리(859991)_수정'!DC$45,고양시_재차인원!$K$4:$O$4,0))</f>
        <v>0</v>
      </c>
      <c r="DD55" s="267">
        <f>INDEX($AA$44:$AN$57,MATCH($CW55,$L$44:$L$57,0),MATCH(DD$45,$AA$45:$AN$45,0))/INDEX(고양시_재차인원!$K$4:$O$20,MATCH("경기도",고양시_재차인원!$K$4:$K$20,0),MATCH('A.일산테크노밸리(859991)_수정'!DD$45,고양시_재차인원!$K$4:$O$4,0))</f>
        <v>1.1238850353507968</v>
      </c>
      <c r="DE55" s="267">
        <f>INDEX($AA$44:$AN$57,MATCH($CW55,$L$44:$L$57,0),MATCH(DE$45,$AA$45:$AN$45,0))/INDEX(고양시_재차인원!$K$4:$O$20,MATCH("경기도",고양시_재차인원!$K$4:$K$20,0),MATCH('A.일산테크노밸리(859991)_수정'!DE$45,고양시_재차인원!$K$4:$O$4,0))</f>
        <v>28.6374949760541</v>
      </c>
      <c r="DF55" s="268">
        <f>INDEX($AO$44:$BB$57,MATCH($CW55,$L$44:$L$57,0),MATCH(DF$45,$AO$45:$BB$45,0))/INDEX(고양시_재차인원!$D$4:$H$35,MATCH("고양시",고양시_재차인원!$B$4:$B$35,0),MATCH('A.일산테크노밸리(859991)_수정'!$DF$44,고양시_재차인원!$D$4:$H$4,0))</f>
        <v>23.231573272253122</v>
      </c>
      <c r="DG55" s="267">
        <f>INDEX($AO$44:$BB$57,MATCH($CW55,$L$44:$L$57,0),MATCH(DG$45,$AO$45:$BB$45,0))/INDEX(고양시_재차인원!$K$4:$O$20,MATCH("경기도",고양시_재차인원!$K$4:$K$20,0),MATCH('A.일산테크노밸리(859991)_수정'!DG$45,고양시_재차인원!$K$4:$O$4,0))</f>
        <v>1.0020580668167745E-3</v>
      </c>
      <c r="DH55" s="267">
        <f>INDEX($AO$44:$BB$57,MATCH($CW55,$L$44:$L$57,0),MATCH(DH$45,$AO$45:$BB$45,0))/INDEX(고양시_재차인원!$K$4:$O$20,MATCH("경기도",고양시_재차인원!$K$4:$K$20,0),MATCH('A.일산테크노밸리(859991)_수정'!DH$45,고양시_재차인원!$K$4:$O$4,0))</f>
        <v>3.96528692154638E-2</v>
      </c>
      <c r="DI55" s="267">
        <f>INDEX($AO$44:$BB$57,MATCH($CW55,$L$44:$L$57,0),MATCH(DI$45,$AO$45:$BB$45,0))/INDEX(고양시_재차인원!$K$4:$O$20,MATCH("경기도",고양시_재차인원!$K$4:$K$20,0),MATCH('A.일산테크노밸리(859991)_수정'!DI$45,고양시_재차인원!$K$4:$O$4,0))</f>
        <v>0.70062468520304855</v>
      </c>
      <c r="DJ55" s="268">
        <f>INDEX($BC$44:$BP$57,MATCH($CW55,$L$44:$L$57,0),MATCH(DJ$45,$BC$45:$BP$45,0))/INDEX(고양시_재차인원!$D$4:$H$35,MATCH("고양시",고양시_재차인원!$B$4:$B$35,0),MATCH('A.일산테크노밸리(859991)_수정'!$DJ$44,고양시_재차인원!$D$4:$H$4,0))</f>
        <v>6.8053170115142406E-2</v>
      </c>
      <c r="DK55" s="267">
        <f>INDEX($BC$44:$BP$57,MATCH($CW55,$L$44:$L$57,0),MATCH(DK$45,$BC$45:$BP$45,0))/INDEX(고양시_재차인원!$K$4:$O$20,MATCH("경기도",고양시_재차인원!$K$4:$K$20,0),MATCH('A.일산테크노밸리(859991)_수정'!DK$45,고양시_재차인원!$K$4:$O$4,0))</f>
        <v>2.0613765945945157E-4</v>
      </c>
      <c r="DL55" s="267">
        <f>INDEX($BC$44:$BP$57,MATCH($CW55,$L$44:$L$57,0),MATCH(DL$45,$BC$45:$BP$45,0))/INDEX(고양시_재차인원!$K$4:$O$20,MATCH("경기도",고양시_재차인원!$K$4:$K$20,0),MATCH('A.일산테크노밸리(859991)_수정'!DL$45,고양시_재차인원!$K$4:$O$4,0))</f>
        <v>1.3742510630630105E-4</v>
      </c>
      <c r="DM55" s="267">
        <f>INDEX($BC$44:$BP$57,MATCH($CW55,$L$44:$L$57,0),MATCH(DM$45,$BC$45:$BP$45,0))/INDEX(고양시_재차인원!$K$4:$O$20,MATCH("경기도",고양시_재차인원!$K$4:$K$20,0),MATCH('A.일산테크노밸리(859991)_수정'!DM$45,고양시_재차인원!$K$4:$O$4,0))</f>
        <v>5.6627425537182467E-4</v>
      </c>
      <c r="DN55" s="268">
        <f>INDEX($BQ$44:$CD$57,MATCH($CW55,$L$44:$L$57,0),MATCH(DN$45,$BQ$45:$CD$45,0))/INDEX(고양시_재차인원!$D$4:$H$35,MATCH("고양시",고양시_재차인원!$B$4:$B$35,0),MATCH('A.일산테크노밸리(859991)_수정'!$DN$44,고양시_재차인원!$D$4:$H$4,0))</f>
        <v>0.15401051281227784</v>
      </c>
      <c r="DO55" s="267">
        <f>INDEX($BQ$44:$CD$57,MATCH($CW55,$L$44:$L$57,0),MATCH(DO$45,$BQ$45:$CD$45,0))/INDEX(고양시_재차인원!$K$4:$O$20,MATCH("경기도",고양시_재차인원!$K$4:$K$20,0),MATCH('A.일산테크노밸리(859991)_수정'!DO$45,고양시_재차인원!$K$4:$O$4,0))</f>
        <v>6.1485441865761397E-4</v>
      </c>
      <c r="DP55" s="267">
        <f>INDEX($BQ$44:$CD$57,MATCH($CW55,$L$44:$L$57,0),MATCH(DP$45,$BQ$45:$CD$45,0))/INDEX(고양시_재차인원!$K$4:$O$20,MATCH("경기도",고양시_재차인원!$K$4:$K$20,0),MATCH('A.일산테크노밸리(859991)_수정'!DP$45,고양시_재차인원!$K$4:$O$4,0))</f>
        <v>2.053547763208883E-3</v>
      </c>
      <c r="DQ55" s="267">
        <f>INDEX($BQ$44:$CD$57,MATCH($CW55,$L$44:$L$57,0),MATCH(DQ$45,$BQ$45:$CD$45,0))/INDEX(고양시_재차인원!$K$4:$O$20,MATCH("경기도",고양시_재차인원!$K$4:$K$20,0),MATCH('A.일산테크노밸리(859991)_수정'!DQ$45,고양시_재차인원!$K$4:$O$4,0))</f>
        <v>1.4777771137992717E-4</v>
      </c>
      <c r="DR55" s="269">
        <f t="shared" si="24"/>
        <v>285.1396685090283</v>
      </c>
      <c r="DS55" s="270">
        <f t="shared" si="18"/>
        <v>2.2383664148868257E-3</v>
      </c>
      <c r="DT55" s="270">
        <f t="shared" si="19"/>
        <v>1.2811868004827056</v>
      </c>
      <c r="DU55" s="270">
        <f t="shared" si="20"/>
        <v>31.746167402829123</v>
      </c>
      <c r="DW55" s="278"/>
      <c r="DX55" s="278"/>
      <c r="DY55" s="281">
        <f>DR57+DU57</f>
        <v>11923.737246428571</v>
      </c>
      <c r="DZ55" s="281">
        <f>DS57+DT57</f>
        <v>48.292548076516916</v>
      </c>
      <c r="EC55" s="412" t="s">
        <v>15</v>
      </c>
      <c r="ED55" s="412" t="s">
        <v>575</v>
      </c>
      <c r="EE55" s="412">
        <v>10018.5584</v>
      </c>
      <c r="EF55" s="412">
        <v>4.6530094391220855E-2</v>
      </c>
      <c r="EG55" s="413">
        <v>859010</v>
      </c>
      <c r="EH55" s="414">
        <f t="shared" si="27"/>
        <v>342.76789697625242</v>
      </c>
      <c r="EI55" s="415">
        <f t="shared" si="28"/>
        <v>1.3882505796385534</v>
      </c>
      <c r="EJ55" s="402">
        <v>0</v>
      </c>
      <c r="EM55" s="278" t="s">
        <v>15</v>
      </c>
      <c r="EN55" s="278" t="s">
        <v>575</v>
      </c>
      <c r="EO55" s="278">
        <v>10018.5584</v>
      </c>
      <c r="EP55" s="278">
        <v>4.6530094391220855E-2</v>
      </c>
      <c r="EQ55" s="289">
        <v>859010</v>
      </c>
      <c r="ER55" s="290">
        <f t="shared" si="29"/>
        <v>342.76789697625242</v>
      </c>
      <c r="ES55" s="291">
        <f t="shared" si="21"/>
        <v>1.3882505796385534</v>
      </c>
      <c r="ET55" s="402">
        <v>0</v>
      </c>
      <c r="EV55" s="34"/>
      <c r="EW55" s="34"/>
      <c r="EX55" s="34"/>
      <c r="EY55" s="34"/>
      <c r="EZ55" s="378"/>
      <c r="FA55" s="401"/>
      <c r="FB55" s="402"/>
      <c r="FC55" s="402"/>
    </row>
    <row r="56" spans="1:159" ht="16.5" customHeight="1">
      <c r="A56" s="205"/>
      <c r="B56" s="205" t="s">
        <v>145</v>
      </c>
      <c r="C56" s="400">
        <f>'A.일산테크노밸리(859991)_수정'!$P39*KTDB_TripDistribution_2025!L$12</f>
        <v>37.701124305312391</v>
      </c>
      <c r="D56" s="400">
        <f>'A.일산테크노밸리(859991)_수정'!$P39*KTDB_TripDistribution_2025!M$12</f>
        <v>293.1689701977993</v>
      </c>
      <c r="E56" s="400">
        <f>'A.일산테크노밸리(859991)_수정'!$P39*KTDB_TripDistribution_2025!N$12</f>
        <v>12.994818122060103</v>
      </c>
      <c r="F56" s="400">
        <f>'A.일산테크노밸리(859991)_수정'!$P39*KTDB_TripDistribution_2025!O$12</f>
        <v>3.5240184737790239E-2</v>
      </c>
      <c r="G56" s="400">
        <f>'A.일산테크노밸리(859991)_수정'!$P39*KTDB_TripDistribution_2025!P$12</f>
        <v>9.9847190090405172E-2</v>
      </c>
      <c r="H56" s="400">
        <f>'A.일산테크노밸리(859991)_수정'!$P39*KTDB_TripDistribution_2025!Q$12</f>
        <v>344</v>
      </c>
      <c r="J56" s="230">
        <f t="shared" si="4"/>
        <v>344</v>
      </c>
      <c r="K56" s="206"/>
      <c r="L56" s="209" t="s">
        <v>482</v>
      </c>
      <c r="M56" s="213">
        <f>INDEX($A$45:$H$57,MATCH($L56,$B$45:$B$57,0),MATCH($M$44,$A$45:$H$45,0))*고양시_Modal_split!C$3 * 0.01</f>
        <v>0.1055631480548747</v>
      </c>
      <c r="N56" s="207">
        <f>INDEX($A$45:$H$57,MATCH($L56,$B$45:$B$57,0),MATCH($M$44,$A$45:$H$45,0))*고양시_Modal_split!D$3 * 0.01</f>
        <v>17.730838760788419</v>
      </c>
      <c r="O56" s="207">
        <f>INDEX($A$45:$H$57,MATCH($L56,$B$45:$B$57,0),MATCH($M$44,$A$45:$H$45,0))*고양시_Modal_split!E$3 * 0.01</f>
        <v>2.1451939729722747</v>
      </c>
      <c r="P56" s="207">
        <f>INDEX($A$45:$H$57,MATCH($L56,$B$45:$B$57,0),MATCH($M$44,$A$45:$H$45,0))*고양시_Modal_split!F$3 * 0.01</f>
        <v>3.4571930987971462</v>
      </c>
      <c r="Q56" s="207">
        <f>INDEX($A$45:$H$57,MATCH($L56,$B$45:$B$57,0),MATCH($M$44,$A$45:$H$45,0))*고양시_Modal_split!G$3 * 0.01</f>
        <v>0.34685034360887401</v>
      </c>
      <c r="R56" s="207">
        <f>INDEX($A$45:$H$57,MATCH($L56,$B$45:$B$57,0),MATCH($M$44,$A$45:$H$45,0))*고양시_Modal_split!H$3 * 0.01</f>
        <v>3.7701124305312391E-3</v>
      </c>
      <c r="S56" s="207">
        <f>INDEX($A$45:$H$57,MATCH($L56,$B$45:$B$57,0),MATCH($M$44,$A$45:$H$45,0))*고양시_Modal_split!I$3 * 0.01</f>
        <v>1.0480912556876845</v>
      </c>
      <c r="T56" s="207">
        <f>INDEX($A$45:$H$57,MATCH($L56,$B$45:$B$57,0),MATCH($M$44,$A$45:$H$45,0))*고양시_Modal_split!J$3 * 0.01</f>
        <v>11.476222238537094</v>
      </c>
      <c r="U56" s="207">
        <f>INDEX($A$45:$H$57,MATCH($L56,$B$45:$B$57,0),MATCH($M$44,$A$45:$H$45,0))*고양시_Modal_split!K$3 * 0.01</f>
        <v>5.6551686457968584E-2</v>
      </c>
      <c r="V56" s="207">
        <f>INDEX($A$45:$H$57,MATCH($L56,$B$45:$B$57,0),MATCH($M$44,$A$45:$H$45,0))*고양시_Modal_split!L$3 * 0.01</f>
        <v>1.1385739540204343</v>
      </c>
      <c r="W56" s="207">
        <f>INDEX($A$45:$H$57,MATCH($L56,$B$45:$B$57,0),MATCH($M$44,$A$45:$H$45,0))*고양시_Modal_split!M$3 * 0.01</f>
        <v>8.6712585902218503E-2</v>
      </c>
      <c r="X56" s="207">
        <f>INDEX($A$45:$H$57,MATCH($L56,$B$45:$B$57,0),MATCH($M$44,$A$45:$H$45,0))*고양시_Modal_split!N$3 * 0.01</f>
        <v>3.7701124305312396E-2</v>
      </c>
      <c r="Y56" s="207">
        <f>INDEX($A$45:$H$57,MATCH($L56,$B$45:$B$57,0),MATCH($M$44,$A$45:$H$45,0))*고양시_Modal_split!O$3 * 0.01</f>
        <v>6.7862023749562295E-2</v>
      </c>
      <c r="Z56" s="214">
        <f>INDEX($A$45:$H$57,MATCH($L56,$B$45:$B$57,0),MATCH($M$44,$A$45:$H$45,0))*고양시_Modal_split!P$3 * 0.01</f>
        <v>37.701124305312391</v>
      </c>
      <c r="AA56" s="213">
        <f>INDEX($A$45:$H$57,MATCH($L56,$B$45:$B$57,0),MATCH($AA$44,$A$45:$H$45,0))*고양시_Modal_split!C$4 * 0.01</f>
        <v>89.240634528210109</v>
      </c>
      <c r="AB56" s="207">
        <f>INDEX($A$45:$H$57,MATCH($L56,$B$45:$B$57,0),MATCH($AA$44,$A$45:$H$45,0))*고양시_Modal_split!D$4 * 0.01</f>
        <v>94.019288742434242</v>
      </c>
      <c r="AC56" s="207">
        <f>INDEX($A$45:$H$57,MATCH($L56,$B$45:$B$57,0),MATCH($AA$44,$A$45:$H$45,0))*고양시_Modal_split!E$4 * 0.01</f>
        <v>22.779228984369006</v>
      </c>
      <c r="AD56" s="207">
        <f>INDEX($A$45:$H$57,MATCH($L56,$B$45:$B$57,0),MATCH($AA$44,$A$45:$H$45,0))*고양시_Modal_split!F$4 * 0.01</f>
        <v>2.7851052168790931</v>
      </c>
      <c r="AE56" s="207">
        <f>INDEX($A$45:$H$57,MATCH($L56,$B$45:$B$57,0),MATCH($AA$44,$A$45:$H$45,0))*고양시_Modal_split!G$4 * 0.01</f>
        <v>34.330086410162295</v>
      </c>
      <c r="AF56" s="207">
        <f>INDEX($A$45:$H$57,MATCH($L56,$B$45:$B$57,0),MATCH($AA$44,$A$45:$H$45,0))*고양시_Modal_split!H$4 * 0.01</f>
        <v>0</v>
      </c>
      <c r="AG56" s="207">
        <f>INDEX($A$45:$H$57,MATCH($L56,$B$45:$B$57,0),MATCH($AA$44,$A$45:$H$45,0))*고양시_Modal_split!I$4 * 0.01</f>
        <v>10.202280162883415</v>
      </c>
      <c r="AH56" s="207">
        <f>INDEX($A$45:$H$57,MATCH($L56,$B$45:$B$57,0),MATCH($AA$44,$A$45:$H$45,0))*고양시_Modal_split!J$4 * 0.01</f>
        <v>13.808258496316347</v>
      </c>
      <c r="AI56" s="207">
        <f>INDEX($A$45:$H$57,MATCH($L56,$B$45:$B$57,0),MATCH($AA$44,$A$45:$H$45,0))*고양시_Modal_split!K$4 * 0.01</f>
        <v>0</v>
      </c>
      <c r="AJ56" s="207">
        <f>INDEX($A$45:$H$57,MATCH($L56,$B$45:$B$57,0),MATCH($AA$44,$A$45:$H$45,0))*고양시_Modal_split!L$4 * 0.01</f>
        <v>13.544406423138328</v>
      </c>
      <c r="AK56" s="207">
        <f>INDEX($A$45:$H$57,MATCH($L56,$B$45:$B$57,0),MATCH($AA$44,$A$45:$H$45,0))*고양시_Modal_split!M$4 * 0.01</f>
        <v>1.9642321003252554</v>
      </c>
      <c r="AL56" s="207">
        <f>INDEX($A$45:$H$57,MATCH($L56,$B$45:$B$57,0),MATCH($AA$44,$A$45:$H$45,0))*고양시_Modal_split!N$4 * 0.01</f>
        <v>7.3292242549449824</v>
      </c>
      <c r="AM56" s="207">
        <f>INDEX($A$45:$H$57,MATCH($L56,$B$45:$B$57,0),MATCH($AA$44,$A$45:$H$45,0))*고양시_Modal_split!O$4 * 0.01</f>
        <v>3.1662248781362328</v>
      </c>
      <c r="AN56" s="214">
        <f>INDEX($A$45:$H$57,MATCH($L56,$B$45:$B$57,0),MATCH($AA$44,$A$45:$H$45,0))*고양시_Modal_split!P$4 * 0.01</f>
        <v>293.1689701977993</v>
      </c>
      <c r="AO56" s="213">
        <f>INDEX($A$45:$H$57,MATCH($L56,$B$45:$B$57,0),MATCH($AO$44,$A$45:$H$45,0))*고양시_Modal_split!C$5 * 0.01</f>
        <v>7.7968908732360623E-3</v>
      </c>
      <c r="AP56" s="207">
        <f>INDEX($A$45:$H$57,MATCH($L56,$B$45:$B$57,0),MATCH($AO$44,$A$45:$H$45,0))*고양시_Modal_split!D$5 * 0.01</f>
        <v>9.5226027198456435</v>
      </c>
      <c r="AQ56" s="207">
        <f>INDEX($A$45:$H$57,MATCH($L56,$B$45:$B$57,0),MATCH($AO$44,$A$45:$H$45,0))*고양시_Modal_split!E$5 * 0.01</f>
        <v>1.2799895850229202</v>
      </c>
      <c r="AR56" s="207">
        <f>INDEX($A$45:$H$57,MATCH($L56,$B$45:$B$57,0),MATCH($AO$44,$A$45:$H$45,0))*고양시_Modal_split!F$5 * 0.01</f>
        <v>0.27289118056326217</v>
      </c>
      <c r="AS56" s="207">
        <f>INDEX($A$45:$H$57,MATCH($L56,$B$45:$B$57,0),MATCH($AO$44,$A$45:$H$45,0))*고양시_Modal_split!G$5 * 0.01</f>
        <v>8.4466317793390686E-2</v>
      </c>
      <c r="AT56" s="207">
        <f>INDEX($A$45:$H$57,MATCH($L56,$B$45:$B$57,0),MATCH($AO$44,$A$45:$H$45,0))*고양시_Modal_split!H$5 * 0.01</f>
        <v>9.0963726854420713E-3</v>
      </c>
      <c r="AU56" s="207">
        <f>INDEX($A$45:$H$57,MATCH($L56,$B$45:$B$57,0),MATCH($AO$44,$A$45:$H$45,0))*고양시_Modal_split!I$5 * 0.01</f>
        <v>0.35995646198106485</v>
      </c>
      <c r="AV56" s="207">
        <f>INDEX($A$45:$H$57,MATCH($L56,$B$45:$B$57,0),MATCH($AO$44,$A$45:$H$45,0))*고양시_Modal_split!J$5 * 0.01</f>
        <v>0.81477509625316857</v>
      </c>
      <c r="AW56" s="207">
        <f>INDEX($A$45:$H$57,MATCH($L56,$B$45:$B$57,0),MATCH($AO$44,$A$45:$H$45,0))*고양시_Modal_split!K$5 * 0.01</f>
        <v>2.5989636244120209E-3</v>
      </c>
      <c r="AX56" s="207">
        <f>INDEX($A$45:$H$57,MATCH($L56,$B$45:$B$57,0),MATCH($AO$44,$A$45:$H$45,0))*고양시_Modal_split!L$5 * 0.01</f>
        <v>0.33136786211253261</v>
      </c>
      <c r="AY56" s="207">
        <f>INDEX($A$45:$H$57,MATCH($L56,$B$45:$B$57,0),MATCH($AO$44,$A$45:$H$45,0))*고양시_Modal_split!M$5 * 0.01</f>
        <v>8.7065281417802703E-2</v>
      </c>
      <c r="AZ56" s="207">
        <f>INDEX($A$45:$H$57,MATCH($L56,$B$45:$B$57,0),MATCH($AO$44,$A$45:$H$45,0))*고양시_Modal_split!N$5 * 0.01</f>
        <v>2.2091190807502176E-2</v>
      </c>
      <c r="BA56" s="207">
        <f>INDEX($A$45:$H$57,MATCH($L56,$B$45:$B$57,0),MATCH($AO$44,$A$45:$H$45,0))*고양시_Modal_split!O$5 * 0.01</f>
        <v>0.20012019907972559</v>
      </c>
      <c r="BB56" s="214">
        <f>INDEX($A$45:$H$57,MATCH($L56,$B$45:$B$57,0),MATCH($AO$44,$A$45:$H$45,0))*고양시_Modal_split!P$5 * 0.01</f>
        <v>12.994818122060101</v>
      </c>
      <c r="BC56" s="213">
        <f>INDEX($A$45:$H$57,MATCH($L56,$B$45:$B$57,0),MATCH($BC$44,$A$45:$H$45,0))*고양시_Modal_split!C$6 * 0.01</f>
        <v>0</v>
      </c>
      <c r="BD56" s="207">
        <f>INDEX($A$45:$H$57,MATCH($L56,$B$45:$B$57,0),MATCH($BC$44,$A$45:$H$45,0))*고양시_Modal_split!D$6 * 0.01</f>
        <v>2.9182396981364093E-2</v>
      </c>
      <c r="BE56" s="207">
        <f>INDEX($A$45:$H$57,MATCH($L56,$B$45:$B$57,0),MATCH($BC$44,$A$45:$H$45,0))*고양시_Modal_split!E$6 * 0.01</f>
        <v>1.5153279437249802E-4</v>
      </c>
      <c r="BF56" s="207">
        <f>INDEX($A$45:$H$57,MATCH($L56,$B$45:$B$57,0),MATCH($BC$44,$A$45:$H$45,0))*고양시_Modal_split!F$6 * 0.01</f>
        <v>4.2993025380104092E-4</v>
      </c>
      <c r="BG56" s="207">
        <f>INDEX($A$45:$H$57,MATCH($L56,$B$45:$B$57,0),MATCH($BC$44,$A$45:$H$45,0))*고양시_Modal_split!G$6 * 0.01</f>
        <v>0</v>
      </c>
      <c r="BH56" s="207">
        <f>INDEX($A$45:$H$57,MATCH($L56,$B$45:$B$57,0),MATCH($BC$44,$A$45:$H$45,0))*고양시_Modal_split!H$6 * 0.01</f>
        <v>1.8712538095766618E-3</v>
      </c>
      <c r="BI56" s="207">
        <f>INDEX($A$45:$H$57,MATCH($L56,$B$45:$B$57,0),MATCH($BC$44,$A$45:$H$45,0))*고양시_Modal_split!I$6 * 0.01</f>
        <v>1.2475025397177745E-3</v>
      </c>
      <c r="BJ56" s="207">
        <f>INDEX($A$45:$H$57,MATCH($L56,$B$45:$B$57,0),MATCH($BC$44,$A$45:$H$45,0))*고양시_Modal_split!J$6 * 0.01</f>
        <v>1.7408651260468378E-3</v>
      </c>
      <c r="BK56" s="207">
        <f>INDEX($A$45:$H$57,MATCH($L56,$B$45:$B$57,0),MATCH($BC$44,$A$45:$H$45,0))*고양시_Modal_split!K$6 * 0.01</f>
        <v>0</v>
      </c>
      <c r="BL56" s="207">
        <f>INDEX($A$45:$H$57,MATCH($L56,$B$45:$B$57,0),MATCH($BC$44,$A$45:$H$45,0))*고양시_Modal_split!L$6 * 0.01</f>
        <v>2.6782540400720585E-4</v>
      </c>
      <c r="BM56" s="207">
        <f>INDEX($A$45:$H$57,MATCH($L56,$B$45:$B$57,0),MATCH($BC$44,$A$45:$H$45,0))*고양시_Modal_split!M$6 * 0.01</f>
        <v>3.2068568111389117E-4</v>
      </c>
      <c r="BN56" s="207">
        <f>INDEX($A$45:$H$57,MATCH($L56,$B$45:$B$57,0),MATCH($BC$44,$A$45:$H$45,0))*고양시_Modal_split!N$6 * 0.01</f>
        <v>0</v>
      </c>
      <c r="BO56" s="207">
        <f>INDEX($A$45:$H$57,MATCH($L56,$B$45:$B$57,0),MATCH($BC$44,$A$45:$H$45,0))*고양시_Modal_split!O$6 * 0.01</f>
        <v>2.8192147790232191E-5</v>
      </c>
      <c r="BP56" s="214">
        <f>INDEX($A$45:$H$57,MATCH($L56,$B$45:$B$57,0),MATCH($BC$44,$A$45:$H$45,0))*고양시_Modal_split!P$6 * 0.01</f>
        <v>3.5240184737790239E-2</v>
      </c>
      <c r="BQ56" s="213">
        <f>INDEX($A$45:$H$57,MATCH($L56,$B$45:$B$57,0),MATCH($BQ$44,$A$45:$H$45,0))*고양시_Modal_split!C$7 * 0.01</f>
        <v>0</v>
      </c>
      <c r="BR56" s="207">
        <f>INDEX($A$45:$H$57,MATCH($L56,$B$45:$B$57,0),MATCH($BQ$44,$A$45:$H$45,0))*고양시_Modal_split!D$7 * 0.01</f>
        <v>6.1186358087400292E-2</v>
      </c>
      <c r="BS56" s="207">
        <f>INDEX($A$45:$H$57,MATCH($L56,$B$45:$B$57,0),MATCH($BQ$44,$A$45:$H$45,0))*고양시_Modal_split!E$7 * 0.01</f>
        <v>2.9854309837031145E-3</v>
      </c>
      <c r="BT56" s="207">
        <f>INDEX($A$45:$H$57,MATCH($L56,$B$45:$B$57,0),MATCH($BQ$44,$A$45:$H$45,0))*고양시_Modal_split!F$7 * 0.01</f>
        <v>9.9847190090405179E-4</v>
      </c>
      <c r="BU56" s="207">
        <f>INDEX($A$45:$H$57,MATCH($L56,$B$45:$B$57,0),MATCH($BQ$44,$A$45:$H$45,0))*고양시_Modal_split!G$7 * 0.01</f>
        <v>4.1935819837970171E-4</v>
      </c>
      <c r="BV56" s="207">
        <f>INDEX($A$45:$H$57,MATCH($L56,$B$45:$B$57,0),MATCH($BQ$44,$A$45:$H$45,0))*고양시_Modal_split!H$7 * 0.01</f>
        <v>5.5814579260536493E-3</v>
      </c>
      <c r="BW56" s="207">
        <f>INDEX($A$45:$H$57,MATCH($L56,$B$45:$B$57,0),MATCH($BQ$44,$A$45:$H$45,0))*고양시_Modal_split!I$7 * 0.01</f>
        <v>1.8641470389878647E-2</v>
      </c>
      <c r="BX56" s="207">
        <f>INDEX($A$45:$H$57,MATCH($L56,$B$45:$B$57,0),MATCH($BQ$44,$A$45:$H$45,0))*고양시_Modal_split!J$7 * 0.01</f>
        <v>1.9969438018081036E-5</v>
      </c>
      <c r="BY56" s="207">
        <f>INDEX($A$45:$H$57,MATCH($L56,$B$45:$B$57,0),MATCH($BQ$44,$A$45:$H$45,0))*고양시_Modal_split!K$7 * 0.01</f>
        <v>7.6882336369611982E-3</v>
      </c>
      <c r="BZ56" s="207">
        <f>INDEX($A$45:$H$57,MATCH($L56,$B$45:$B$57,0),MATCH($BQ$44,$A$45:$H$45,0))*고양시_Modal_split!L$7 * 0.01</f>
        <v>6.9893033063283614E-5</v>
      </c>
      <c r="CA56" s="207">
        <f>INDEX($A$45:$H$57,MATCH($L56,$B$45:$B$57,0),MATCH($BQ$44,$A$45:$H$45,0))*고양시_Modal_split!M$7 * 0.01</f>
        <v>1.8671424546905769E-3</v>
      </c>
      <c r="CB56" s="207">
        <f>INDEX($A$45:$H$57,MATCH($L56,$B$45:$B$57,0),MATCH($BQ$44,$A$45:$H$45,0))*고양시_Modal_split!N$7 * 0.01</f>
        <v>3.8940404135258009E-4</v>
      </c>
      <c r="CC56" s="207">
        <f>INDEX($A$45:$H$57,MATCH($L56,$B$45:$B$57,0),MATCH($BQ$44,$A$45:$H$45,0))*고양시_Modal_split!O$7 * 0.01</f>
        <v>0</v>
      </c>
      <c r="CD56" s="214">
        <f>INDEX($A$45:$H$57,MATCH($L56,$B$45:$B$57,0),MATCH($BQ$44,$A$45:$H$45,0))*고양시_Modal_split!P$7 * 0.01</f>
        <v>9.9847190090405186E-2</v>
      </c>
      <c r="CE56" s="218">
        <f t="shared" si="22"/>
        <v>89.353994567138216</v>
      </c>
      <c r="CF56" s="208">
        <f t="shared" si="5"/>
        <v>121.36309897813706</v>
      </c>
      <c r="CG56" s="208">
        <f t="shared" si="6"/>
        <v>26.207549506142279</v>
      </c>
      <c r="CH56" s="208">
        <f t="shared" si="7"/>
        <v>6.5166178983942062</v>
      </c>
      <c r="CI56" s="208">
        <f t="shared" si="8"/>
        <v>34.761822429762937</v>
      </c>
      <c r="CJ56" s="208">
        <f t="shared" si="9"/>
        <v>2.0319196851603622E-2</v>
      </c>
      <c r="CK56" s="208">
        <f t="shared" si="10"/>
        <v>11.630216853481761</v>
      </c>
      <c r="CL56" s="208">
        <f t="shared" si="11"/>
        <v>26.10101666567067</v>
      </c>
      <c r="CM56" s="208">
        <f t="shared" si="12"/>
        <v>6.6838883719341796E-2</v>
      </c>
      <c r="CN56" s="208">
        <f t="shared" si="13"/>
        <v>15.014685957708366</v>
      </c>
      <c r="CO56" s="208">
        <f t="shared" si="14"/>
        <v>2.1401977957810812</v>
      </c>
      <c r="CP56" s="208">
        <f t="shared" si="15"/>
        <v>7.3894059740991489</v>
      </c>
      <c r="CQ56" s="208">
        <f t="shared" si="16"/>
        <v>3.4342352931133107</v>
      </c>
      <c r="CR56" s="219">
        <f t="shared" si="17"/>
        <v>344</v>
      </c>
      <c r="CS56" s="225">
        <f t="shared" si="23"/>
        <v>0</v>
      </c>
      <c r="CV56" s="265"/>
      <c r="CW56" s="266" t="s">
        <v>482</v>
      </c>
      <c r="CX56" s="267">
        <f>INDEX($M$44:$Z$57,MATCH($CW56,$L$44:$L$57,0),MATCH(CX$45,$M$45:$Z$45,0))/INDEX(고양시_재차인원!$D$4:$H$35,MATCH("고양시",고양시_재차인원!$B$4:$B$35,0),MATCH('A.일산테크노밸리(859991)_수정'!$CX$44,고양시_재차인원!$D$4:$H$4,0))</f>
        <v>15.83110603641823</v>
      </c>
      <c r="CY56" s="267">
        <f>INDEX($M$44:$Z$57,MATCH($CW56,$L$44:$L$57,0),MATCH(CY$45,$M$45:$Z$45,0))/INDEX(고양시_재차인원!$K$4:$O$20,MATCH("경기도",고양시_재차인원!$K$4:$K$20,0),MATCH('A.일산테크노밸리(859991)_수정'!CY$45,고양시_재차인원!$K$4:$O$4,0))</f>
        <v>1.3095215111258213E-4</v>
      </c>
      <c r="CZ56" s="267">
        <f>INDEX($M$44:$Z$57,MATCH($CW56,$L$44:$L$57,0),MATCH(CZ$45,$M$45:$Z$45,0))/INDEX(고양시_재차인원!$K$4:$O$20,MATCH("경기도",고양시_재차인원!$K$4:$K$20,0),MATCH('A.일산테크노밸리(859991)_수정'!CZ$45,고양시_재차인원!$K$4:$O$4,0))</f>
        <v>3.6404698009297826E-2</v>
      </c>
      <c r="DA56" s="267">
        <f>INDEX($M$44:$Z$57,MATCH($CW56,$L$44:$L$57,0),MATCH(DA$45,$M$45:$Z$45,0))/INDEX(고양시_재차인원!$K$4:$O$20,MATCH("경기도",고양시_재차인원!$K$4:$K$20,0),MATCH('A.일산테크노밸리(859991)_수정'!DA$45,고양시_재차인원!$K$4:$O$4,0))</f>
        <v>0.75904930268028947</v>
      </c>
      <c r="DB56" s="268">
        <f>INDEX($AA$44:$AN$57,MATCH($CW56,$L$44:$L$57,0),MATCH(DB$45,$AA$45:$AN$45,0))/INDEX(고양시_재차인원!$D$4:$H$35,MATCH("고양시",고양시_재차인원!$B$4:$B$35,0),MATCH('A.일산테크노밸리(859991)_수정'!$DB$44,고양시_재차인원!$D$4:$H$4,0))</f>
        <v>66.680346625839888</v>
      </c>
      <c r="DC56" s="267">
        <f>INDEX($AA$44:$AN$57,MATCH($CW56,$L$44:$L$57,0),MATCH(DC$45,$AA$45:$AN$45,0))/INDEX(고양시_재차인원!$K$4:$O$20,MATCH("경기도",고양시_재차인원!$K$4:$K$20,0),MATCH('A.일산테크노밸리(859991)_수정'!DC$45,고양시_재차인원!$K$4:$O$4,0))</f>
        <v>0</v>
      </c>
      <c r="DD56" s="267">
        <f>INDEX($AA$44:$AN$57,MATCH($CW56,$L$44:$L$57,0),MATCH(DD$45,$AA$45:$AN$45,0))/INDEX(고양시_재차인원!$K$4:$O$20,MATCH("경기도",고양시_재차인원!$K$4:$K$20,0),MATCH('A.일산테크노밸리(859991)_수정'!DD$45,고양시_재차인원!$K$4:$O$4,0))</f>
        <v>0.35436888374030617</v>
      </c>
      <c r="DE56" s="267">
        <f>INDEX($AA$44:$AN$57,MATCH($CW56,$L$44:$L$57,0),MATCH(DE$45,$AA$45:$AN$45,0))/INDEX(고양시_재차인원!$K$4:$O$20,MATCH("경기도",고양시_재차인원!$K$4:$K$20,0),MATCH('A.일산테크노밸리(859991)_수정'!DE$45,고양시_재차인원!$K$4:$O$4,0))</f>
        <v>9.0296042820922189</v>
      </c>
      <c r="DF56" s="268">
        <f>INDEX($AO$44:$BB$57,MATCH($CW56,$L$44:$L$57,0),MATCH(DF$45,$AO$45:$BB$45,0))/INDEX(고양시_재차인원!$D$4:$H$35,MATCH("고양시",고양시_재차인원!$B$4:$B$35,0),MATCH('A.일산테크노밸리(859991)_수정'!$DF$44,고양시_재차인원!$D$4:$H$4,0))</f>
        <v>7.3250790152658798</v>
      </c>
      <c r="DG56" s="267">
        <f>INDEX($AO$44:$BB$57,MATCH($CW56,$L$44:$L$57,0),MATCH(DG$45,$AO$45:$BB$45,0))/INDEX(고양시_재차인원!$K$4:$O$20,MATCH("경기도",고양시_재차인원!$K$4:$K$20,0),MATCH('A.일산테크노밸리(859991)_수정'!DG$45,고양시_재차인원!$K$4:$O$4,0))</f>
        <v>3.1595598073782811E-4</v>
      </c>
      <c r="DH56" s="267">
        <f>INDEX($AO$44:$BB$57,MATCH($CW56,$L$44:$L$57,0),MATCH(DH$45,$AO$45:$BB$45,0))/INDEX(고양시_재차인원!$K$4:$O$20,MATCH("경기도",고양시_재차인원!$K$4:$K$20,0),MATCH('A.일산테크노밸리(859991)_수정'!DH$45,고양시_재차인원!$K$4:$O$4,0))</f>
        <v>1.2502829523482627E-2</v>
      </c>
      <c r="DI56" s="267">
        <f>INDEX($AO$44:$BB$57,MATCH($CW56,$L$44:$L$57,0),MATCH(DI$45,$AO$45:$BB$45,0))/INDEX(고양시_재차인원!$K$4:$O$20,MATCH("경기도",고양시_재차인원!$K$4:$K$20,0),MATCH('A.일산테크노밸리(859991)_수정'!DI$45,고양시_재차인원!$K$4:$O$4,0))</f>
        <v>0.22091190807502173</v>
      </c>
      <c r="DJ56" s="268">
        <f>INDEX($BC$44:$BP$57,MATCH($CW56,$L$44:$L$57,0),MATCH(DJ$45,$BC$45:$BP$45,0))/INDEX(고양시_재차인원!$D$4:$H$35,MATCH("고양시",고양시_재차인원!$B$4:$B$35,0),MATCH('A.일산테크노밸리(859991)_수정'!$DJ$44,고양시_재차인원!$D$4:$H$4,0))</f>
        <v>2.1457644839238302E-2</v>
      </c>
      <c r="DK56" s="267">
        <f>INDEX($BC$44:$BP$57,MATCH($CW56,$L$44:$L$57,0),MATCH(DK$45,$BC$45:$BP$45,0))/INDEX(고양시_재차인원!$K$4:$O$20,MATCH("경기도",고양시_재차인원!$K$4:$K$20,0),MATCH('A.일산테크노밸리(859991)_수정'!DK$45,고양시_재차인원!$K$4:$O$4,0))</f>
        <v>6.4996658894639179E-5</v>
      </c>
      <c r="DL56" s="267">
        <f>INDEX($BC$44:$BP$57,MATCH($CW56,$L$44:$L$57,0),MATCH(DL$45,$BC$45:$BP$45,0))/INDEX(고양시_재차인원!$K$4:$O$20,MATCH("경기도",고양시_재차인원!$K$4:$K$20,0),MATCH('A.일산테크노밸리(859991)_수정'!DL$45,고양시_재차인원!$K$4:$O$4,0))</f>
        <v>4.3331105929759453E-5</v>
      </c>
      <c r="DM56" s="267">
        <f>INDEX($BC$44:$BP$57,MATCH($CW56,$L$44:$L$57,0),MATCH(DM$45,$BC$45:$BP$45,0))/INDEX(고양시_재차인원!$K$4:$O$20,MATCH("경기도",고양시_재차인원!$K$4:$K$20,0),MATCH('A.일산테크노밸리(859991)_수정'!DM$45,고양시_재차인원!$K$4:$O$4,0))</f>
        <v>1.7855026933813725E-4</v>
      </c>
      <c r="DN56" s="268">
        <f>INDEX($BQ$44:$CD$57,MATCH($CW56,$L$44:$L$57,0),MATCH(DN$45,$BQ$45:$CD$45,0))/INDEX(고양시_재차인원!$D$4:$H$35,MATCH("고양시",고양시_재차인원!$B$4:$B$35,0),MATCH('A.일산테크노밸리(859991)_수정'!$DN$44,고양시_재차인원!$D$4:$H$4,0))</f>
        <v>4.8560601656666896E-2</v>
      </c>
      <c r="DO56" s="267">
        <f>INDEX($BQ$44:$CD$57,MATCH($CW56,$L$44:$L$57,0),MATCH(DO$45,$BQ$45:$CD$45,0))/INDEX(고양시_재차인원!$K$4:$O$20,MATCH("경기도",고양시_재차인원!$K$4:$K$20,0),MATCH('A.일산테크노밸리(859991)_수정'!DO$45,고양시_재차인원!$K$4:$O$4,0))</f>
        <v>1.9386793768856025E-4</v>
      </c>
      <c r="DP56" s="267">
        <f>INDEX($BQ$44:$CD$57,MATCH($CW56,$L$44:$L$57,0),MATCH(DP$45,$BQ$45:$CD$45,0))/INDEX(고양시_재차인원!$K$4:$O$20,MATCH("경기도",고양시_재차인원!$K$4:$K$20,0),MATCH('A.일산테크노밸리(859991)_수정'!DP$45,고양시_재차인원!$K$4:$O$4,0))</f>
        <v>6.4749810315660461E-4</v>
      </c>
      <c r="DQ56" s="267">
        <f>INDEX($BQ$44:$CD$57,MATCH($CW56,$L$44:$L$57,0),MATCH(DQ$45,$BQ$45:$CD$45,0))/INDEX(고양시_재차인원!$K$4:$O$20,MATCH("경기도",고양시_재차인원!$K$4:$K$20,0),MATCH('A.일산테크노밸리(859991)_수정'!DQ$45,고양시_재차인원!$K$4:$O$4,0))</f>
        <v>4.6595355375522409E-5</v>
      </c>
      <c r="DR56" s="269">
        <f t="shared" si="24"/>
        <v>89.906549924019913</v>
      </c>
      <c r="DS56" s="270">
        <f t="shared" si="18"/>
        <v>7.0577272843360967E-4</v>
      </c>
      <c r="DT56" s="270">
        <f t="shared" si="19"/>
        <v>0.40396724048217297</v>
      </c>
      <c r="DU56" s="270">
        <f t="shared" si="20"/>
        <v>10.009790638472243</v>
      </c>
      <c r="DW56" s="278"/>
      <c r="DX56" s="278"/>
      <c r="DY56" s="281" t="b">
        <f>SUM(DY46:DY54)=DY55</f>
        <v>1</v>
      </c>
      <c r="DZ56" s="281" t="b">
        <f>SUM(DZ46:DZ54)=DZ55</f>
        <v>1</v>
      </c>
      <c r="EC56" s="412" t="s">
        <v>15</v>
      </c>
      <c r="ED56" s="412" t="s">
        <v>84</v>
      </c>
      <c r="EE56" s="412">
        <v>5030.8546999999999</v>
      </c>
      <c r="EF56" s="412">
        <v>2.3365252236241602E-2</v>
      </c>
      <c r="EG56" s="413">
        <v>859011</v>
      </c>
      <c r="EH56" s="414">
        <f t="shared" si="27"/>
        <v>172.12211744077828</v>
      </c>
      <c r="EI56" s="415">
        <f t="shared" si="28"/>
        <v>0.69711496150507457</v>
      </c>
      <c r="EJ56" s="402">
        <v>0</v>
      </c>
      <c r="EM56" s="278" t="s">
        <v>15</v>
      </c>
      <c r="EN56" s="278" t="s">
        <v>84</v>
      </c>
      <c r="EO56" s="278">
        <v>5030.8546999999999</v>
      </c>
      <c r="EP56" s="278">
        <v>2.3365252236241602E-2</v>
      </c>
      <c r="EQ56" s="289">
        <v>859011</v>
      </c>
      <c r="ER56" s="290">
        <f t="shared" si="29"/>
        <v>172.12211744077828</v>
      </c>
      <c r="ES56" s="291">
        <f t="shared" si="21"/>
        <v>0.69711496150507457</v>
      </c>
      <c r="ET56" s="402">
        <v>0</v>
      </c>
      <c r="EV56" s="34"/>
      <c r="EW56" s="34"/>
      <c r="EX56" s="34"/>
      <c r="EY56" s="34"/>
      <c r="EZ56" s="378"/>
      <c r="FA56" s="401"/>
      <c r="FB56" s="402"/>
      <c r="FC56" s="402"/>
    </row>
    <row r="57" spans="1:159" ht="38.25" customHeight="1" thickBot="1">
      <c r="A57" s="205"/>
      <c r="B57" s="205" t="s">
        <v>26</v>
      </c>
      <c r="C57" s="400">
        <f>'A.일산테크노밸리(859991)_수정'!$P40*KTDB_TripDistribution_2025!L$12</f>
        <v>4499.1469621560591</v>
      </c>
      <c r="D57" s="400">
        <f>'A.일산테크노밸리(859991)_수정'!$P40*KTDB_TripDistribution_2025!M$12</f>
        <v>34985.966757442024</v>
      </c>
      <c r="E57" s="400">
        <f>'A.일산테크노밸리(859991)_수정'!$P40*KTDB_TripDistribution_2025!N$12</f>
        <v>1550.76533007794</v>
      </c>
      <c r="F57" s="400">
        <f>'A.일산테크노밸리(859991)_수정'!$P40*KTDB_TripDistribution_2025!O$12</f>
        <v>4.2054653019062931</v>
      </c>
      <c r="G57" s="400">
        <f>'A.일산테크노밸리(859991)_수정'!$P40*KTDB_TripDistribution_2025!P$12</f>
        <v>11.91548502206777</v>
      </c>
      <c r="H57" s="400">
        <f>'A.일산테크노밸리(859991)_수정'!$P40*KTDB_TripDistribution_2025!Q$12</f>
        <v>41052</v>
      </c>
      <c r="I57" t="b">
        <f>H57=$P$40</f>
        <v>1</v>
      </c>
      <c r="J57" s="230">
        <f t="shared" si="4"/>
        <v>41052</v>
      </c>
      <c r="K57" s="206"/>
      <c r="L57" s="209" t="s">
        <v>26</v>
      </c>
      <c r="M57" s="215">
        <f>INDEX($A$45:$H$57,MATCH($L57,$B$45:$B$57,0),MATCH($M$44,$A$45:$H$45,0))*고양시_Modal_split!C$3 * 0.01</f>
        <v>12.597611494036965</v>
      </c>
      <c r="N57" s="216">
        <f>INDEX($A$45:$H$57,MATCH($L57,$B$45:$B$57,0),MATCH($M$44,$A$45:$H$45,0))*고양시_Modal_split!D$3 * 0.01</f>
        <v>2115.9488163019946</v>
      </c>
      <c r="O57" s="216">
        <f>INDEX($A$45:$H$57,MATCH($L57,$B$45:$B$57,0),MATCH($M$44,$A$45:$H$45,0))*고양시_Modal_split!E$3 * 0.01</f>
        <v>256.00146214667973</v>
      </c>
      <c r="P57" s="216">
        <f>INDEX($A$45:$H$57,MATCH($L57,$B$45:$B$57,0),MATCH($M$44,$A$45:$H$45,0))*고양시_Modal_split!F$3 * 0.01</f>
        <v>412.57177642971061</v>
      </c>
      <c r="Q57" s="216">
        <f>INDEX($A$45:$H$57,MATCH($L57,$B$45:$B$57,0),MATCH($M$44,$A$45:$H$45,0))*고양시_Modal_split!G$3 * 0.01</f>
        <v>41.392152051835737</v>
      </c>
      <c r="R57" s="216">
        <f>INDEX($A$45:$H$57,MATCH($L57,$B$45:$B$57,0),MATCH($M$44,$A$45:$H$45,0))*고양시_Modal_split!H$3 * 0.01</f>
        <v>0.44991469621560592</v>
      </c>
      <c r="S57" s="216">
        <f>INDEX($A$45:$H$57,MATCH($L57,$B$45:$B$57,0),MATCH($M$44,$A$45:$H$45,0))*고양시_Modal_split!I$3 * 0.01</f>
        <v>125.07628554793844</v>
      </c>
      <c r="T57" s="216">
        <f>INDEX($A$45:$H$57,MATCH($L57,$B$45:$B$57,0),MATCH($M$44,$A$45:$H$45,0))*고양시_Modal_split!J$3 * 0.01</f>
        <v>1369.5403352803044</v>
      </c>
      <c r="U57" s="216">
        <f>INDEX($A$45:$H$57,MATCH($L57,$B$45:$B$57,0),MATCH($M$44,$A$45:$H$45,0))*고양시_Modal_split!K$3 * 0.01</f>
        <v>6.748720443234089</v>
      </c>
      <c r="V57" s="216">
        <f>INDEX($A$45:$H$57,MATCH($L57,$B$45:$B$57,0),MATCH($M$44,$A$45:$H$45,0))*고양시_Modal_split!L$3 * 0.01</f>
        <v>135.87423825711301</v>
      </c>
      <c r="W57" s="216">
        <f>INDEX($A$45:$H$57,MATCH($L57,$B$45:$B$57,0),MATCH($M$44,$A$45:$H$45,0))*고양시_Modal_split!M$3 * 0.01</f>
        <v>10.348038012958934</v>
      </c>
      <c r="X57" s="216">
        <f>INDEX($A$45:$H$57,MATCH($L57,$B$45:$B$57,0),MATCH($M$44,$A$45:$H$45,0))*고양시_Modal_split!N$3 * 0.01</f>
        <v>4.4991469621560594</v>
      </c>
      <c r="Y57" s="216">
        <f>INDEX($A$45:$H$57,MATCH($L57,$B$45:$B$57,0),MATCH($M$44,$A$45:$H$45,0))*고양시_Modal_split!O$3 * 0.01</f>
        <v>8.0984645318809054</v>
      </c>
      <c r="Z57" s="217">
        <f>INDEX($A$45:$H$57,MATCH($L57,$B$45:$B$57,0),MATCH($M$44,$A$45:$H$45,0))*고양시_Modal_split!P$3 * 0.01</f>
        <v>4499.1469621560591</v>
      </c>
      <c r="AA57" s="215">
        <f>INDEX($A$45:$H$57,MATCH($L57,$B$45:$B$57,0),MATCH($AA$44,$A$45:$H$45,0))*고양시_Modal_split!C$4 * 0.01</f>
        <v>10649.728280965353</v>
      </c>
      <c r="AB57" s="216">
        <f>INDEX($A$45:$H$57,MATCH($L57,$B$45:$B$57,0),MATCH($AA$44,$A$45:$H$45,0))*고양시_Modal_split!D$4 * 0.01</f>
        <v>11219.999539111657</v>
      </c>
      <c r="AC57" s="216">
        <f>INDEX($A$45:$H$57,MATCH($L57,$B$45:$B$57,0),MATCH($AA$44,$A$45:$H$45,0))*고양시_Modal_split!E$4 * 0.01</f>
        <v>2718.4096170532453</v>
      </c>
      <c r="AD57" s="216">
        <f>INDEX($A$45:$H$57,MATCH($L57,$B$45:$B$57,0),MATCH($AA$44,$A$45:$H$45,0))*고양시_Modal_split!F$4 * 0.01</f>
        <v>332.36668419569918</v>
      </c>
      <c r="AE57" s="216">
        <f>INDEX($A$45:$H$57,MATCH($L57,$B$45:$B$57,0),MATCH($AA$44,$A$45:$H$45,0))*고양시_Modal_split!G$4 * 0.01</f>
        <v>4096.8567072964606</v>
      </c>
      <c r="AF57" s="216">
        <f>INDEX($A$45:$H$57,MATCH($L57,$B$45:$B$57,0),MATCH($AA$44,$A$45:$H$45,0))*고양시_Modal_split!H$4 * 0.01</f>
        <v>0</v>
      </c>
      <c r="AG57" s="216">
        <f>INDEX($A$45:$H$57,MATCH($L57,$B$45:$B$57,0),MATCH($AA$44,$A$45:$H$45,0))*고양시_Modal_split!I$4 * 0.01</f>
        <v>1217.5116431589825</v>
      </c>
      <c r="AH57" s="216">
        <f>INDEX($A$45:$H$57,MATCH($L57,$B$45:$B$57,0),MATCH($AA$44,$A$45:$H$45,0))*고양시_Modal_split!J$4 * 0.01</f>
        <v>1647.8390342755195</v>
      </c>
      <c r="AI57" s="216">
        <f>INDEX($A$45:$H$57,MATCH($L57,$B$45:$B$57,0),MATCH($AA$44,$A$45:$H$45,0))*고양시_Modal_split!K$4 * 0.01</f>
        <v>0</v>
      </c>
      <c r="AJ57" s="216">
        <f>INDEX($A$45:$H$57,MATCH($L57,$B$45:$B$57,0),MATCH($AA$44,$A$45:$H$45,0))*고양시_Modal_split!L$4 * 0.01</f>
        <v>1616.3516641938215</v>
      </c>
      <c r="AK57" s="216">
        <f>INDEX($A$45:$H$57,MATCH($L57,$B$45:$B$57,0),MATCH($AA$44,$A$45:$H$45,0))*고양시_Modal_split!M$4 * 0.01</f>
        <v>234.40597727486158</v>
      </c>
      <c r="AL57" s="216">
        <f>INDEX($A$45:$H$57,MATCH($L57,$B$45:$B$57,0),MATCH($AA$44,$A$45:$H$45,0))*고양시_Modal_split!N$4 * 0.01</f>
        <v>874.64916893605061</v>
      </c>
      <c r="AM57" s="216">
        <f>INDEX($A$45:$H$57,MATCH($L57,$B$45:$B$57,0),MATCH($AA$44,$A$45:$H$45,0))*고양시_Modal_split!O$4 * 0.01</f>
        <v>377.84844098037388</v>
      </c>
      <c r="AN57" s="217">
        <f>INDEX($A$45:$H$57,MATCH($L57,$B$45:$B$57,0),MATCH($AA$44,$A$45:$H$45,0))*고양시_Modal_split!P$4 * 0.01</f>
        <v>34985.966757442024</v>
      </c>
      <c r="AO57" s="215">
        <f>INDEX($A$45:$H$57,MATCH($L57,$B$45:$B$57,0),MATCH($AO$44,$A$45:$H$45,0))*고양시_Modal_split!C$5 * 0.01</f>
        <v>0.93045919804676402</v>
      </c>
      <c r="AP57" s="216">
        <f>INDEX($A$45:$H$57,MATCH($L57,$B$45:$B$57,0),MATCH($AO$44,$A$45:$H$45,0))*고양시_Modal_split!D$5 * 0.01</f>
        <v>1136.4008338811145</v>
      </c>
      <c r="AQ57" s="216">
        <f>INDEX($A$45:$H$57,MATCH($L57,$B$45:$B$57,0),MATCH($AO$44,$A$45:$H$45,0))*고양시_Modal_split!E$5 * 0.01</f>
        <v>152.7503850126771</v>
      </c>
      <c r="AR57" s="216">
        <f>INDEX($A$45:$H$57,MATCH($L57,$B$45:$B$57,0),MATCH($AO$44,$A$45:$H$45,0))*고양시_Modal_split!F$5 * 0.01</f>
        <v>32.566071931636742</v>
      </c>
      <c r="AS57" s="216">
        <f>INDEX($A$45:$H$57,MATCH($L57,$B$45:$B$57,0),MATCH($AO$44,$A$45:$H$45,0))*고양시_Modal_split!G$5 * 0.01</f>
        <v>10.07997464550661</v>
      </c>
      <c r="AT57" s="216">
        <f>INDEX($A$45:$H$57,MATCH($L57,$B$45:$B$57,0),MATCH($AO$44,$A$45:$H$45,0))*고양시_Modal_split!H$5 * 0.01</f>
        <v>1.0855357310545579</v>
      </c>
      <c r="AU57" s="216">
        <f>INDEX($A$45:$H$57,MATCH($L57,$B$45:$B$57,0),MATCH($AO$44,$A$45:$H$45,0))*고양시_Modal_split!I$5 * 0.01</f>
        <v>42.956199643158932</v>
      </c>
      <c r="AV57" s="216">
        <f>INDEX($A$45:$H$57,MATCH($L57,$B$45:$B$57,0),MATCH($AO$44,$A$45:$H$45,0))*고양시_Modal_split!J$5 * 0.01</f>
        <v>97.232986195886838</v>
      </c>
      <c r="AW57" s="216">
        <f>INDEX($A$45:$H$57,MATCH($L57,$B$45:$B$57,0),MATCH($AO$44,$A$45:$H$45,0))*고양시_Modal_split!K$5 * 0.01</f>
        <v>0.31015306601558801</v>
      </c>
      <c r="AX57" s="216">
        <f>INDEX($A$45:$H$57,MATCH($L57,$B$45:$B$57,0),MATCH($AO$44,$A$45:$H$45,0))*고양시_Modal_split!L$5 * 0.01</f>
        <v>39.544515916987464</v>
      </c>
      <c r="AY57" s="216">
        <f>INDEX($A$45:$H$57,MATCH($L57,$B$45:$B$57,0),MATCH($AO$44,$A$45:$H$45,0))*고양시_Modal_split!M$5 * 0.01</f>
        <v>10.390127711522197</v>
      </c>
      <c r="AZ57" s="216">
        <f>INDEX($A$45:$H$57,MATCH($L57,$B$45:$B$57,0),MATCH($AO$44,$A$45:$H$45,0))*고양시_Modal_split!N$5 * 0.01</f>
        <v>2.6363010611324977</v>
      </c>
      <c r="BA57" s="216">
        <f>INDEX($A$45:$H$57,MATCH($L57,$B$45:$B$57,0),MATCH($AO$44,$A$45:$H$45,0))*고양시_Modal_split!O$5 * 0.01</f>
        <v>23.881786083200279</v>
      </c>
      <c r="BB57" s="217">
        <f>INDEX($A$45:$H$57,MATCH($L57,$B$45:$B$57,0),MATCH($AO$44,$A$45:$H$45,0))*고양시_Modal_split!P$5 * 0.01</f>
        <v>1550.7653300779398</v>
      </c>
      <c r="BC57" s="215">
        <f>INDEX($A$45:$H$57,MATCH($L57,$B$45:$B$57,0),MATCH($BC$44,$A$45:$H$45,0))*고양시_Modal_split!C$6 * 0.01</f>
        <v>0</v>
      </c>
      <c r="BD57" s="216">
        <f>INDEX($A$45:$H$57,MATCH($L57,$B$45:$B$57,0),MATCH($BC$44,$A$45:$H$45,0))*고양시_Modal_split!D$6 * 0.01</f>
        <v>3.4825458165086007</v>
      </c>
      <c r="BE57" s="216">
        <f>INDEX($A$45:$H$57,MATCH($L57,$B$45:$B$57,0),MATCH($BC$44,$A$45:$H$45,0))*고양시_Modal_split!E$6 * 0.01</f>
        <v>1.8083500798197063E-2</v>
      </c>
      <c r="BF57" s="216">
        <f>INDEX($A$45:$H$57,MATCH($L57,$B$45:$B$57,0),MATCH($BC$44,$A$45:$H$45,0))*고양시_Modal_split!F$6 * 0.01</f>
        <v>5.1306676683256773E-2</v>
      </c>
      <c r="BG57" s="216">
        <f>INDEX($A$45:$H$57,MATCH($L57,$B$45:$B$57,0),MATCH($BC$44,$A$45:$H$45,0))*고양시_Modal_split!G$6 * 0.01</f>
        <v>0</v>
      </c>
      <c r="BH57" s="216">
        <f>INDEX($A$45:$H$57,MATCH($L57,$B$45:$B$57,0),MATCH($BC$44,$A$45:$H$45,0))*고양시_Modal_split!H$6 * 0.01</f>
        <v>0.22331020753122421</v>
      </c>
      <c r="BI57" s="216">
        <f>INDEX($A$45:$H$57,MATCH($L57,$B$45:$B$57,0),MATCH($BC$44,$A$45:$H$45,0))*고양시_Modal_split!I$6 * 0.01</f>
        <v>0.14887347168748277</v>
      </c>
      <c r="BJ57" s="216">
        <f>INDEX($A$45:$H$57,MATCH($L57,$B$45:$B$57,0),MATCH($BC$44,$A$45:$H$45,0))*고양시_Modal_split!J$6 * 0.01</f>
        <v>0.20774998591417085</v>
      </c>
      <c r="BK57" s="216">
        <f>INDEX($A$45:$H$57,MATCH($L57,$B$45:$B$57,0),MATCH($BC$44,$A$45:$H$45,0))*고양시_Modal_split!K$6 * 0.01</f>
        <v>0</v>
      </c>
      <c r="BL57" s="216">
        <f>INDEX($A$45:$H$57,MATCH($L57,$B$45:$B$57,0),MATCH($BC$44,$A$45:$H$45,0))*고양시_Modal_split!L$6 * 0.01</f>
        <v>3.1961536294487829E-2</v>
      </c>
      <c r="BM57" s="216">
        <f>INDEX($A$45:$H$57,MATCH($L57,$B$45:$B$57,0),MATCH($BC$44,$A$45:$H$45,0))*고양시_Modal_split!M$6 * 0.01</f>
        <v>3.8269734247347267E-2</v>
      </c>
      <c r="BN57" s="216">
        <f>INDEX($A$45:$H$57,MATCH($L57,$B$45:$B$57,0),MATCH($BC$44,$A$45:$H$45,0))*고양시_Modal_split!N$6 * 0.01</f>
        <v>0</v>
      </c>
      <c r="BO57" s="216">
        <f>INDEX($A$45:$H$57,MATCH($L57,$B$45:$B$57,0),MATCH($BC$44,$A$45:$H$45,0))*고양시_Modal_split!O$6 * 0.01</f>
        <v>3.3643722415250344E-3</v>
      </c>
      <c r="BP57" s="217">
        <f>INDEX($A$45:$H$57,MATCH($L57,$B$45:$B$57,0),MATCH($BC$44,$A$45:$H$45,0))*고양시_Modal_split!P$6 * 0.01</f>
        <v>4.2054653019062931</v>
      </c>
      <c r="BQ57" s="215">
        <f>INDEX($A$45:$H$57,MATCH($L57,$B$45:$B$57,0),MATCH($BQ$44,$A$45:$H$45,0))*고양시_Modal_split!C$7 * 0.01</f>
        <v>0</v>
      </c>
      <c r="BR57" s="216">
        <f>INDEX($A$45:$H$57,MATCH($L57,$B$45:$B$57,0),MATCH($BQ$44,$A$45:$H$45,0))*고양시_Modal_split!D$7 * 0.01</f>
        <v>7.3018092215231301</v>
      </c>
      <c r="BS57" s="216">
        <f>INDEX($A$45:$H$57,MATCH($L57,$B$45:$B$57,0),MATCH($BQ$44,$A$45:$H$45,0))*고양시_Modal_split!E$7 * 0.01</f>
        <v>0.35627300215982632</v>
      </c>
      <c r="BT57" s="216">
        <f>INDEX($A$45:$H$57,MATCH($L57,$B$45:$B$57,0),MATCH($BQ$44,$A$45:$H$45,0))*고양시_Modal_split!F$7 * 0.01</f>
        <v>0.1191548502206777</v>
      </c>
      <c r="BU57" s="216">
        <f>INDEX($A$45:$H$57,MATCH($L57,$B$45:$B$57,0),MATCH($BQ$44,$A$45:$H$45,0))*고양시_Modal_split!G$7 * 0.01</f>
        <v>5.0045037092684631E-2</v>
      </c>
      <c r="BV57" s="216">
        <f>INDEX($A$45:$H$57,MATCH($L57,$B$45:$B$57,0),MATCH($BQ$44,$A$45:$H$45,0))*고양시_Modal_split!H$7 * 0.01</f>
        <v>0.6660756127335884</v>
      </c>
      <c r="BW57" s="216">
        <f>INDEX($A$45:$H$57,MATCH($L57,$B$45:$B$57,0),MATCH($BQ$44,$A$45:$H$45,0))*고양시_Modal_split!I$7 * 0.01</f>
        <v>2.2246210536200532</v>
      </c>
      <c r="BX57" s="216">
        <f>INDEX($A$45:$H$57,MATCH($L57,$B$45:$B$57,0),MATCH($BQ$44,$A$45:$H$45,0))*고양시_Modal_split!J$7 * 0.01</f>
        <v>2.383097004413554E-3</v>
      </c>
      <c r="BY57" s="216">
        <f>INDEX($A$45:$H$57,MATCH($L57,$B$45:$B$57,0),MATCH($BQ$44,$A$45:$H$45,0))*고양시_Modal_split!K$7 * 0.01</f>
        <v>0.91749234669921831</v>
      </c>
      <c r="BZ57" s="216">
        <f>INDEX($A$45:$H$57,MATCH($L57,$B$45:$B$57,0),MATCH($BQ$44,$A$45:$H$45,0))*고양시_Modal_split!L$7 * 0.01</f>
        <v>8.3408395154474374E-3</v>
      </c>
      <c r="CA57" s="216">
        <f>INDEX($A$45:$H$57,MATCH($L57,$B$45:$B$57,0),MATCH($BQ$44,$A$45:$H$45,0))*고양시_Modal_split!M$7 * 0.01</f>
        <v>0.22281956991266733</v>
      </c>
      <c r="CB57" s="216">
        <f>INDEX($A$45:$H$57,MATCH($L57,$B$45:$B$57,0),MATCH($BQ$44,$A$45:$H$45,0))*고양시_Modal_split!N$7 * 0.01</f>
        <v>4.6470391586064301E-2</v>
      </c>
      <c r="CC57" s="216">
        <f>INDEX($A$45:$H$57,MATCH($L57,$B$45:$B$57,0),MATCH($BQ$44,$A$45:$H$45,0))*고양시_Modal_split!O$7 * 0.01</f>
        <v>0</v>
      </c>
      <c r="CD57" s="217">
        <f>INDEX($A$45:$H$57,MATCH($L57,$B$45:$B$57,0),MATCH($BQ$44,$A$45:$H$45,0))*고양시_Modal_split!P$7 * 0.01</f>
        <v>11.915485022067768</v>
      </c>
      <c r="CE57" s="220">
        <f t="shared" si="22"/>
        <v>10663.256351657437</v>
      </c>
      <c r="CF57" s="221">
        <f t="shared" si="5"/>
        <v>14483.133544332797</v>
      </c>
      <c r="CG57" s="221">
        <f t="shared" si="6"/>
        <v>3127.5358207155605</v>
      </c>
      <c r="CH57" s="221">
        <f t="shared" si="7"/>
        <v>777.67499408395042</v>
      </c>
      <c r="CI57" s="221">
        <f t="shared" si="8"/>
        <v>4148.3788790308963</v>
      </c>
      <c r="CJ57" s="221">
        <f t="shared" si="9"/>
        <v>2.4248362475349765</v>
      </c>
      <c r="CK57" s="221">
        <f t="shared" si="10"/>
        <v>1387.9176228753872</v>
      </c>
      <c r="CL57" s="221">
        <f t="shared" si="11"/>
        <v>3114.8224888346294</v>
      </c>
      <c r="CM57" s="221">
        <f t="shared" si="12"/>
        <v>7.9763658559488952</v>
      </c>
      <c r="CN57" s="221">
        <f t="shared" si="13"/>
        <v>1791.8107207437317</v>
      </c>
      <c r="CO57" s="221">
        <f t="shared" si="14"/>
        <v>255.40523230350271</v>
      </c>
      <c r="CP57" s="221">
        <f t="shared" si="15"/>
        <v>881.83108735092515</v>
      </c>
      <c r="CQ57" s="221">
        <f t="shared" si="16"/>
        <v>409.83205596769659</v>
      </c>
      <c r="CR57" s="222">
        <f t="shared" si="17"/>
        <v>41052</v>
      </c>
      <c r="CS57" s="225">
        <f t="shared" si="23"/>
        <v>0</v>
      </c>
      <c r="CV57" s="265"/>
      <c r="CW57" s="266" t="s">
        <v>26</v>
      </c>
      <c r="CX57" s="267">
        <f>INDEX($M$44:$Z$57,MATCH($CW57,$L$44:$L$57,0),MATCH(CX$45,$M$45:$Z$45,0))/INDEX(고양시_재차인원!$D$4:$H$35,MATCH("고양시",고양시_재차인원!$B$4:$B$35,0),MATCH('A.일산테크노밸리(859991)_수정'!$CX$44,고양시_재차인원!$D$4:$H$4,0))</f>
        <v>1889.2400145553522</v>
      </c>
      <c r="CY57" s="267">
        <f>INDEX($M$44:$Z$57,MATCH($CW57,$L$44:$L$57,0),MATCH(CY$45,$M$45:$Z$45,0))/INDEX(고양시_재차인원!$K$4:$O$20,MATCH("경기도",고양시_재차인원!$K$4:$K$20,0),MATCH('A.일산테크노밸리(859991)_수정'!CY$45,고양시_재차인원!$K$4:$O$4,0))</f>
        <v>1.5627464265911981E-2</v>
      </c>
      <c r="CZ57" s="267">
        <f>INDEX($M$44:$Z$57,MATCH($CW57,$L$44:$L$57,0),MATCH(CZ$45,$M$45:$Z$45,0))/INDEX(고양시_재차인원!$K$4:$O$20,MATCH("경기도",고양시_재차인원!$K$4:$K$20,0),MATCH('A.일산테크노밸리(859991)_수정'!CZ$45,고양시_재차인원!$K$4:$O$4,0))</f>
        <v>4.3444350659235305</v>
      </c>
      <c r="DA57" s="267">
        <f>INDEX($M$44:$Z$57,MATCH($CW57,$L$44:$L$57,0),MATCH(DA$45,$M$45:$Z$45,0))/INDEX(고양시_재차인원!$K$4:$O$20,MATCH("경기도",고양시_재차인원!$K$4:$K$20,0),MATCH('A.일산테크노밸리(859991)_수정'!DA$45,고양시_재차인원!$K$4:$O$4,0))</f>
        <v>90.582825504742004</v>
      </c>
      <c r="DB57" s="272">
        <f>INDEX($AA$44:$AN$57,MATCH($CW57,$L$44:$L$57,0),MATCH(DB$45,$AA$45:$AN$45,0))/INDEX(고양시_재차인원!$D$4:$H$35,MATCH("고양시",고양시_재차인원!$B$4:$B$35,0),MATCH('A.일산테크노밸리(859991)_수정'!$DB$44,고양시_재차인원!$D$4:$H$4,0))</f>
        <v>7957.4464816394739</v>
      </c>
      <c r="DC57" s="273">
        <f>INDEX($AA$44:$AN$57,MATCH($CW57,$L$44:$L$57,0),MATCH(DC$45,$AA$45:$AN$45,0))/INDEX(고양시_재차인원!$K$4:$O$20,MATCH("경기도",고양시_재차인원!$K$4:$K$20,0),MATCH('A.일산테크노밸리(859991)_수정'!DC$45,고양시_재차인원!$K$4:$O$4,0))</f>
        <v>0</v>
      </c>
      <c r="DD57" s="273">
        <f>INDEX($AA$44:$AN$57,MATCH($CW57,$L$44:$L$57,0),MATCH(DD$45,$AA$45:$AN$45,0))/INDEX(고양시_재차인원!$K$4:$O$20,MATCH("경기도",고양시_재차인원!$K$4:$K$20,0),MATCH('A.일산테크노밸리(859991)_수정'!DD$45,고양시_재차인원!$K$4:$O$4,0))</f>
        <v>42.289393649148401</v>
      </c>
      <c r="DE57" s="273">
        <f>INDEX($AA$44:$AN$57,MATCH($CW57,$L$44:$L$57,0),MATCH(DE$45,$AA$45:$AN$45,0))/INDEX(고양시_재차인원!$K$4:$O$20,MATCH("경기도",고양시_재차인원!$K$4:$K$20,0),MATCH('A.일산테크노밸리(859991)_수정'!DE$45,고양시_재차인원!$K$4:$O$4,0))</f>
        <v>1077.5677761292143</v>
      </c>
      <c r="DF57" s="272">
        <f>INDEX($AO$44:$BB$57,MATCH($CW57,$L$44:$L$57,0),MATCH(DF$45,$AO$45:$BB$45,0))/INDEX(고양시_재차인원!$D$4:$H$35,MATCH("고양시",고양시_재차인원!$B$4:$B$35,0),MATCH('A.일산테크노밸리(859991)_수정'!$DF$44,고양시_재차인원!$D$4:$H$4,0))</f>
        <v>874.15448760085735</v>
      </c>
      <c r="DG57" s="273">
        <f>INDEX($AO$44:$BB$57,MATCH($CW57,$L$44:$L$57,0),MATCH(DG$45,$AO$45:$BB$45,0))/INDEX(고양시_재차인원!$K$4:$O$20,MATCH("경기도",고양시_재차인원!$K$4:$K$20,0),MATCH('A.일산테크노밸리(859991)_수정'!DG$45,고양시_재차인원!$K$4:$O$4,0))</f>
        <v>3.7705305003631742E-2</v>
      </c>
      <c r="DH57" s="273">
        <f>INDEX($AO$44:$BB$57,MATCH($CW57,$L$44:$L$57,0),MATCH(DH$45,$AO$45:$BB$45,0))/INDEX(고양시_재차인원!$K$4:$O$20,MATCH("경기도",고양시_재차인원!$K$4:$K$20,0),MATCH('A.일산테크노밸리(859991)_수정'!DH$45,고양시_재차인원!$K$4:$O$4,0))</f>
        <v>1.4920527837151418</v>
      </c>
      <c r="DI57" s="273">
        <f>INDEX($AO$44:$BB$57,MATCH($CW57,$L$44:$L$57,0),MATCH(DI$45,$AO$45:$BB$45,0))/INDEX(고양시_재차인원!$K$4:$O$20,MATCH("경기도",고양시_재차인원!$K$4:$K$20,0),MATCH('A.일산테크노밸리(859991)_수정'!DI$45,고양시_재차인원!$K$4:$O$4,0))</f>
        <v>26.363010611324977</v>
      </c>
      <c r="DJ57" s="272">
        <f>INDEX($BC$44:$BP$57,MATCH($CW57,$L$44:$L$57,0),MATCH(DJ$45,$BC$45:$BP$45,0))/INDEX(고양시_재차인원!$D$4:$H$35,MATCH("고양시",고양시_재차인원!$B$4:$B$35,0),MATCH('A.일산테크노밸리(859991)_수정'!$DJ$44,고양시_재차인원!$D$4:$H$4,0))</f>
        <v>2.5606954533151476</v>
      </c>
      <c r="DK57" s="273">
        <f>INDEX($BC$44:$BP$57,MATCH($CW57,$L$44:$L$57,0),MATCH(DK$45,$BC$45:$BP$45,0))/INDEX(고양시_재차인원!$K$4:$O$20,MATCH("경기도",고양시_재차인원!$K$4:$K$20,0),MATCH('A.일산테크노밸리(859991)_수정'!DK$45,고양시_재차인원!$K$4:$O$4,0))</f>
        <v>7.7565198864614181E-3</v>
      </c>
      <c r="DL57" s="273">
        <f>INDEX($BC$44:$BP$57,MATCH($CW57,$L$44:$L$57,0),MATCH(DL$45,$BC$45:$BP$45,0))/INDEX(고양시_재차인원!$K$4:$O$20,MATCH("경기도",고양시_재차인원!$K$4:$K$20,0),MATCH('A.일산테크노밸리(859991)_수정'!DL$45,고양시_재차인원!$K$4:$O$4,0))</f>
        <v>5.1710132576409436E-3</v>
      </c>
      <c r="DM57" s="273">
        <f>INDEX($BC$44:$BP$57,MATCH($CW57,$L$44:$L$57,0),MATCH(DM$45,$BC$45:$BP$45,0))/INDEX(고양시_재차인원!$K$4:$O$20,MATCH("경기도",고양시_재차인원!$K$4:$K$20,0),MATCH('A.일산테크노밸리(859991)_수정'!DM$45,고양시_재차인원!$K$4:$O$4,0))</f>
        <v>2.1307690862991887E-2</v>
      </c>
      <c r="DN57" s="272">
        <f>INDEX($BQ$44:$CD$57,MATCH($CW57,$L$44:$L$57,0),MATCH(DN$45,$BQ$45:$CD$45,0))/INDEX(고양시_재차인원!$D$4:$H$35,MATCH("고양시",고양시_재차인원!$B$4:$B$35,0),MATCH('A.일산테크노밸리(859991)_수정'!$DN$44,고양시_재차인원!$D$4:$H$4,0))</f>
        <v>5.795086683748516</v>
      </c>
      <c r="DO57" s="273">
        <f>INDEX($BQ$44:$CD$57,MATCH($CW57,$L$44:$L$57,0),MATCH(DO$45,$BQ$45:$CD$45,0))/INDEX(고양시_재차인원!$K$4:$O$20,MATCH("경기도",고양시_재차인원!$K$4:$K$20,0),MATCH('A.일산테크노밸리(859991)_수정'!DO$45,고양시_재차인원!$K$4:$O$4,0))</f>
        <v>2.3135658656949928E-2</v>
      </c>
      <c r="DP57" s="273">
        <f>INDEX($BQ$44:$CD$57,MATCH($CW57,$L$44:$L$57,0),MATCH(DP$45,$BQ$45:$CD$45,0))/INDEX(고양시_재차인원!$K$4:$O$20,MATCH("경기도",고양시_재차인원!$K$4:$K$20,0),MATCH('A.일산테크노밸리(859991)_수정'!DP$45,고양시_재차인원!$K$4:$O$4,0))</f>
        <v>7.7270616659258537E-2</v>
      </c>
      <c r="DQ57" s="273">
        <f>INDEX($BQ$44:$CD$57,MATCH($CW57,$L$44:$L$57,0),MATCH(DQ$45,$BQ$45:$CD$45,0))/INDEX(고양시_재차인원!$K$4:$O$20,MATCH("경기도",고양시_재차인원!$K$4:$K$20,0),MATCH('A.일산테크노밸리(859991)_수정'!DQ$45,고양시_재차인원!$K$4:$O$4,0))</f>
        <v>5.5605596769649586E-3</v>
      </c>
      <c r="DR57" s="274">
        <f t="shared" si="24"/>
        <v>10729.196765932749</v>
      </c>
      <c r="DS57" s="275">
        <f t="shared" si="18"/>
        <v>8.4224947812955073E-2</v>
      </c>
      <c r="DT57" s="275">
        <f t="shared" si="19"/>
        <v>48.20832312870396</v>
      </c>
      <c r="DU57" s="275">
        <f t="shared" si="20"/>
        <v>1194.5404804958214</v>
      </c>
      <c r="EC57" s="412" t="s">
        <v>15</v>
      </c>
      <c r="ED57" s="412" t="s">
        <v>89</v>
      </c>
      <c r="EE57" s="412">
        <v>6744.6391999999996</v>
      </c>
      <c r="EF57" s="412">
        <v>3.132473616271262E-2</v>
      </c>
      <c r="EG57" s="413">
        <v>859012</v>
      </c>
      <c r="EH57" s="414">
        <f t="shared" si="27"/>
        <v>230.75633261244388</v>
      </c>
      <c r="EI57" s="415">
        <f t="shared" si="28"/>
        <v>0.93459047749353941</v>
      </c>
      <c r="EJ57" s="402">
        <v>0</v>
      </c>
      <c r="EM57" s="278" t="s">
        <v>15</v>
      </c>
      <c r="EN57" s="278" t="s">
        <v>89</v>
      </c>
      <c r="EO57" s="278">
        <v>6744.6391999999996</v>
      </c>
      <c r="EP57" s="278">
        <v>3.132473616271262E-2</v>
      </c>
      <c r="EQ57" s="289">
        <v>859012</v>
      </c>
      <c r="ER57" s="290">
        <f t="shared" si="29"/>
        <v>230.75633261244388</v>
      </c>
      <c r="ES57" s="291">
        <f t="shared" si="21"/>
        <v>0.93459047749353941</v>
      </c>
      <c r="ET57" s="402">
        <v>0</v>
      </c>
      <c r="EV57" s="34"/>
      <c r="EW57" s="34"/>
      <c r="EX57" s="34"/>
      <c r="EY57" s="34"/>
      <c r="EZ57" s="378"/>
      <c r="FA57" s="401"/>
      <c r="FB57" s="402"/>
      <c r="FC57" s="402"/>
    </row>
    <row r="58" spans="1:159" ht="17.149999999999999" customHeight="1">
      <c r="D58">
        <f>D57/H57</f>
        <v>0.85223537848197461</v>
      </c>
      <c r="E58">
        <f>E57/H57</f>
        <v>3.7775634075756112E-2</v>
      </c>
      <c r="R58">
        <f>R57/Z57</f>
        <v>1E-4</v>
      </c>
      <c r="S58">
        <f>S57/Z57</f>
        <v>2.7799999999999998E-2</v>
      </c>
      <c r="EC58" s="412" t="s">
        <v>15</v>
      </c>
      <c r="ED58" s="412" t="s">
        <v>90</v>
      </c>
      <c r="EE58" s="412">
        <v>9730.2787000000008</v>
      </c>
      <c r="EF58" s="412">
        <v>4.519121097940456E-2</v>
      </c>
      <c r="EG58" s="413">
        <v>859013</v>
      </c>
      <c r="EH58" s="414">
        <f t="shared" si="27"/>
        <v>332.90489847240138</v>
      </c>
      <c r="EI58" s="415">
        <f t="shared" si="28"/>
        <v>1.3483042675400956</v>
      </c>
      <c r="EJ58" s="402">
        <v>0</v>
      </c>
      <c r="EM58" s="278" t="s">
        <v>15</v>
      </c>
      <c r="EN58" s="278" t="s">
        <v>90</v>
      </c>
      <c r="EO58" s="278">
        <v>9730.2787000000008</v>
      </c>
      <c r="EP58" s="278">
        <v>4.519121097940456E-2</v>
      </c>
      <c r="EQ58" s="289">
        <v>859013</v>
      </c>
      <c r="ER58" s="290">
        <f t="shared" si="29"/>
        <v>332.90489847240138</v>
      </c>
      <c r="ES58" s="291">
        <f t="shared" si="21"/>
        <v>1.3483042675400956</v>
      </c>
      <c r="ET58" s="402">
        <v>0</v>
      </c>
      <c r="EV58" s="34"/>
      <c r="EW58" s="34"/>
      <c r="EX58" s="34"/>
      <c r="EY58" s="34"/>
      <c r="EZ58" s="378"/>
      <c r="FA58" s="401"/>
      <c r="FB58" s="402"/>
      <c r="FC58" s="402"/>
    </row>
    <row r="59" spans="1:159" ht="17.149999999999999" customHeight="1">
      <c r="EC59" s="412" t="s">
        <v>15</v>
      </c>
      <c r="ED59" s="412" t="s">
        <v>91</v>
      </c>
      <c r="EE59" s="412">
        <v>11598.4503</v>
      </c>
      <c r="EF59" s="412">
        <v>5.386772883919945E-2</v>
      </c>
      <c r="EG59" s="413">
        <v>859014</v>
      </c>
      <c r="EH59" s="414">
        <f t="shared" si="27"/>
        <v>396.82120508621131</v>
      </c>
      <c r="EI59" s="415">
        <f t="shared" si="28"/>
        <v>1.6071728794717568</v>
      </c>
      <c r="EJ59" s="402">
        <v>0</v>
      </c>
      <c r="EM59" s="278" t="s">
        <v>15</v>
      </c>
      <c r="EN59" s="278" t="s">
        <v>91</v>
      </c>
      <c r="EO59" s="278">
        <v>11598.4503</v>
      </c>
      <c r="EP59" s="278">
        <v>5.386772883919945E-2</v>
      </c>
      <c r="EQ59" s="289">
        <v>859014</v>
      </c>
      <c r="ER59" s="290">
        <f t="shared" si="29"/>
        <v>396.82120508621131</v>
      </c>
      <c r="ES59" s="291">
        <f t="shared" si="21"/>
        <v>1.6071728794717568</v>
      </c>
      <c r="ET59" s="402">
        <v>0</v>
      </c>
      <c r="EV59" s="34"/>
      <c r="EW59" s="34"/>
      <c r="EX59" s="34"/>
      <c r="EY59" s="34"/>
      <c r="EZ59" s="378"/>
      <c r="FA59" s="401"/>
      <c r="FB59" s="402"/>
      <c r="FC59" s="402"/>
    </row>
    <row r="60" spans="1:159" ht="17.149999999999999" customHeight="1">
      <c r="EC60" s="412" t="s">
        <v>15</v>
      </c>
      <c r="ED60" s="412" t="s">
        <v>92</v>
      </c>
      <c r="EE60" s="412">
        <v>20670.0766</v>
      </c>
      <c r="EF60" s="412">
        <v>9.5999901070773372E-2</v>
      </c>
      <c r="EG60" s="413">
        <v>859015</v>
      </c>
      <c r="EH60" s="414">
        <f t="shared" si="27"/>
        <v>707.19143450020192</v>
      </c>
      <c r="EI60" s="415">
        <f t="shared" si="28"/>
        <v>2.8642090683549144</v>
      </c>
      <c r="EJ60" s="402">
        <v>0</v>
      </c>
      <c r="EM60" s="278" t="s">
        <v>15</v>
      </c>
      <c r="EN60" s="278" t="s">
        <v>92</v>
      </c>
      <c r="EO60" s="278">
        <v>20670.0766</v>
      </c>
      <c r="EP60" s="278">
        <v>9.5999901070773372E-2</v>
      </c>
      <c r="EQ60" s="289">
        <v>859015</v>
      </c>
      <c r="ER60" s="290">
        <f t="shared" si="29"/>
        <v>707.19143450020192</v>
      </c>
      <c r="ES60" s="291">
        <f t="shared" si="21"/>
        <v>2.8642090683549144</v>
      </c>
      <c r="ET60" s="402">
        <v>0</v>
      </c>
      <c r="EV60" s="34"/>
      <c r="EW60" s="34"/>
      <c r="EX60" s="34"/>
      <c r="EY60" s="34"/>
      <c r="EZ60" s="378"/>
      <c r="FA60" s="401"/>
      <c r="FB60" s="402"/>
      <c r="FC60" s="402"/>
    </row>
    <row r="61" spans="1:159" ht="17.149999999999999" customHeight="1">
      <c r="EC61" s="412" t="s">
        <v>15</v>
      </c>
      <c r="ED61" s="412" t="s">
        <v>93</v>
      </c>
      <c r="EE61" s="412">
        <v>6590.8657999999996</v>
      </c>
      <c r="EF61" s="412">
        <v>3.061055249165083E-2</v>
      </c>
      <c r="EG61" s="413">
        <v>859016</v>
      </c>
      <c r="EH61" s="414">
        <f t="shared" si="27"/>
        <v>225.49523786962263</v>
      </c>
      <c r="EI61" s="415">
        <f t="shared" si="28"/>
        <v>0.91328242066941689</v>
      </c>
      <c r="EJ61" s="402">
        <v>0</v>
      </c>
      <c r="EM61" s="278" t="s">
        <v>15</v>
      </c>
      <c r="EN61" s="278" t="s">
        <v>93</v>
      </c>
      <c r="EO61" s="278">
        <v>6590.8657999999996</v>
      </c>
      <c r="EP61" s="278">
        <v>3.061055249165083E-2</v>
      </c>
      <c r="EQ61" s="289">
        <v>859016</v>
      </c>
      <c r="ER61" s="290">
        <f t="shared" si="29"/>
        <v>225.49523786962263</v>
      </c>
      <c r="ES61" s="291">
        <f t="shared" si="21"/>
        <v>0.91328242066941689</v>
      </c>
      <c r="ET61" s="402">
        <v>0</v>
      </c>
      <c r="EV61" s="34"/>
      <c r="EW61" s="34"/>
      <c r="EX61" s="34"/>
      <c r="EY61" s="34"/>
      <c r="EZ61" s="378"/>
      <c r="FA61" s="401"/>
      <c r="FB61" s="402"/>
      <c r="FC61" s="402"/>
    </row>
    <row r="62" spans="1:159" ht="17.149999999999999" customHeight="1">
      <c r="EC62" s="412" t="s">
        <v>15</v>
      </c>
      <c r="ED62" s="412" t="s">
        <v>94</v>
      </c>
      <c r="EE62" s="412">
        <v>3970.3760000000002</v>
      </c>
      <c r="EF62" s="412">
        <v>1.843997536098985E-2</v>
      </c>
      <c r="EG62" s="413">
        <v>859017</v>
      </c>
      <c r="EH62" s="414">
        <f t="shared" si="27"/>
        <v>135.83964652289549</v>
      </c>
      <c r="EI62" s="415">
        <f t="shared" si="28"/>
        <v>0.55016665704948153</v>
      </c>
      <c r="EJ62" s="402">
        <v>0</v>
      </c>
      <c r="EM62" s="278" t="s">
        <v>15</v>
      </c>
      <c r="EN62" s="278" t="s">
        <v>94</v>
      </c>
      <c r="EO62" s="278">
        <v>3970.3760000000002</v>
      </c>
      <c r="EP62" s="278">
        <v>1.843997536098985E-2</v>
      </c>
      <c r="EQ62" s="289">
        <v>859017</v>
      </c>
      <c r="ER62" s="290">
        <f t="shared" si="29"/>
        <v>135.83964652289549</v>
      </c>
      <c r="ES62" s="291">
        <f t="shared" si="21"/>
        <v>0.55016665704948153</v>
      </c>
      <c r="ET62" s="402">
        <v>0</v>
      </c>
      <c r="EV62" s="34"/>
      <c r="EW62" s="34"/>
      <c r="EX62" s="34"/>
      <c r="EY62" s="34"/>
      <c r="EZ62" s="378"/>
      <c r="FA62" s="401"/>
      <c r="FB62" s="402"/>
      <c r="FC62" s="402"/>
    </row>
    <row r="63" spans="1:159" ht="17.149999999999999" customHeight="1">
      <c r="EC63" s="412" t="s">
        <v>15</v>
      </c>
      <c r="ED63" s="412" t="s">
        <v>95</v>
      </c>
      <c r="EE63" s="412">
        <v>14487.1335</v>
      </c>
      <c r="EF63" s="412">
        <v>6.7283900766922491E-2</v>
      </c>
      <c r="EG63" s="413">
        <v>859018</v>
      </c>
      <c r="EH63" s="414">
        <f t="shared" si="27"/>
        <v>495.65257642349184</v>
      </c>
      <c r="EI63" s="415">
        <f t="shared" si="28"/>
        <v>2.007451638818226</v>
      </c>
      <c r="EJ63" s="402">
        <v>0</v>
      </c>
      <c r="EM63" s="278" t="s">
        <v>15</v>
      </c>
      <c r="EN63" s="278" t="s">
        <v>95</v>
      </c>
      <c r="EO63" s="278">
        <v>14487.1335</v>
      </c>
      <c r="EP63" s="278">
        <v>6.7283900766922491E-2</v>
      </c>
      <c r="EQ63" s="289">
        <v>859018</v>
      </c>
      <c r="ER63" s="290">
        <f t="shared" si="29"/>
        <v>495.65257642349184</v>
      </c>
      <c r="ES63" s="291">
        <f t="shared" si="21"/>
        <v>2.007451638818226</v>
      </c>
      <c r="ET63" s="402">
        <v>0</v>
      </c>
      <c r="EV63" s="34"/>
      <c r="EW63" s="34"/>
      <c r="EX63" s="34"/>
      <c r="EY63" s="34"/>
      <c r="EZ63" s="378"/>
      <c r="FA63" s="401"/>
      <c r="FB63" s="402"/>
      <c r="FC63" s="402"/>
    </row>
    <row r="64" spans="1:159" ht="17.149999999999999" customHeight="1">
      <c r="EC64" s="412" t="s">
        <v>15</v>
      </c>
      <c r="ED64" s="412" t="s">
        <v>96</v>
      </c>
      <c r="EE64" s="412">
        <v>7440.5132000000003</v>
      </c>
      <c r="EF64" s="412">
        <v>3.4556646544589169E-2</v>
      </c>
      <c r="EG64" s="413">
        <v>859019</v>
      </c>
      <c r="EH64" s="414">
        <f t="shared" si="27"/>
        <v>254.56447526303256</v>
      </c>
      <c r="EI64" s="415">
        <f t="shared" si="28"/>
        <v>1.0310162750269849</v>
      </c>
      <c r="EJ64" s="402">
        <v>0</v>
      </c>
      <c r="EM64" s="278" t="s">
        <v>15</v>
      </c>
      <c r="EN64" s="278" t="s">
        <v>96</v>
      </c>
      <c r="EO64" s="278">
        <v>7440.5132000000003</v>
      </c>
      <c r="EP64" s="278">
        <v>3.4556646544589169E-2</v>
      </c>
      <c r="EQ64" s="289">
        <v>859019</v>
      </c>
      <c r="ER64" s="290">
        <f t="shared" si="29"/>
        <v>254.56447526303256</v>
      </c>
      <c r="ES64" s="291">
        <f t="shared" si="21"/>
        <v>1.0310162750269849</v>
      </c>
      <c r="ET64" s="402">
        <v>0</v>
      </c>
      <c r="EV64" s="34"/>
      <c r="EW64" s="34"/>
      <c r="EX64" s="34"/>
      <c r="EY64" s="34"/>
      <c r="EZ64" s="378"/>
      <c r="FA64" s="401"/>
      <c r="FB64" s="402"/>
      <c r="FC64" s="402"/>
    </row>
    <row r="65" spans="133:159" ht="17.149999999999999" customHeight="1">
      <c r="EC65" s="412" t="s">
        <v>15</v>
      </c>
      <c r="ED65" s="412" t="s">
        <v>97</v>
      </c>
      <c r="EE65" s="412">
        <v>20150.029900000001</v>
      </c>
      <c r="EF65" s="412">
        <v>9.3584601276858623E-2</v>
      </c>
      <c r="EG65" s="413">
        <v>859020</v>
      </c>
      <c r="EH65" s="414">
        <f t="shared" si="27"/>
        <v>689.3989231855561</v>
      </c>
      <c r="EI65" s="415">
        <f t="shared" si="28"/>
        <v>2.7921472902138484</v>
      </c>
      <c r="EJ65" s="402">
        <v>0</v>
      </c>
      <c r="EM65" s="278" t="s">
        <v>15</v>
      </c>
      <c r="EN65" s="278" t="s">
        <v>97</v>
      </c>
      <c r="EO65" s="278">
        <v>20150.029900000001</v>
      </c>
      <c r="EP65" s="278">
        <v>9.3584601276858623E-2</v>
      </c>
      <c r="EQ65" s="289">
        <v>859020</v>
      </c>
      <c r="ER65" s="290">
        <f t="shared" si="29"/>
        <v>689.3989231855561</v>
      </c>
      <c r="ES65" s="291">
        <f t="shared" si="21"/>
        <v>2.7921472902138484</v>
      </c>
      <c r="ET65" s="402">
        <v>0</v>
      </c>
      <c r="EV65" s="34"/>
      <c r="EW65" s="34"/>
      <c r="EX65" s="34"/>
      <c r="EY65" s="34"/>
      <c r="EZ65" s="378"/>
      <c r="FA65" s="401"/>
      <c r="FB65" s="402"/>
      <c r="FC65" s="402"/>
    </row>
    <row r="66" spans="133:159" ht="17.149999999999999" customHeight="1">
      <c r="EC66" s="412" t="s">
        <v>15</v>
      </c>
      <c r="ED66" s="412" t="s">
        <v>98</v>
      </c>
      <c r="EE66" s="412">
        <v>8631.4781000000003</v>
      </c>
      <c r="EF66" s="412">
        <v>4.0087952247576428E-2</v>
      </c>
      <c r="EG66" s="413">
        <v>859021</v>
      </c>
      <c r="EH66" s="414">
        <f t="shared" si="27"/>
        <v>295.31130907352701</v>
      </c>
      <c r="EI66" s="415">
        <f t="shared" si="28"/>
        <v>1.196045777949698</v>
      </c>
      <c r="EJ66" s="402">
        <v>0</v>
      </c>
      <c r="EM66" s="278" t="s">
        <v>15</v>
      </c>
      <c r="EN66" s="278" t="s">
        <v>98</v>
      </c>
      <c r="EO66" s="278">
        <v>8631.4781000000003</v>
      </c>
      <c r="EP66" s="278">
        <v>4.0087952247576428E-2</v>
      </c>
      <c r="EQ66" s="289">
        <v>859021</v>
      </c>
      <c r="ER66" s="290">
        <f t="shared" si="29"/>
        <v>295.31130907352701</v>
      </c>
      <c r="ES66" s="291">
        <f t="shared" si="21"/>
        <v>1.196045777949698</v>
      </c>
      <c r="ET66" s="402">
        <v>0</v>
      </c>
      <c r="EV66" s="34"/>
      <c r="EW66" s="34"/>
      <c r="EX66" s="34"/>
      <c r="EY66" s="34"/>
      <c r="EZ66" s="378"/>
      <c r="FA66" s="401"/>
      <c r="FB66" s="402"/>
      <c r="FC66" s="402"/>
    </row>
    <row r="67" spans="133:159" ht="17.149999999999999" customHeight="1">
      <c r="EC67" s="412" t="s">
        <v>15</v>
      </c>
      <c r="ED67" s="412" t="s">
        <v>99</v>
      </c>
      <c r="EE67" s="412">
        <v>11977.777099999999</v>
      </c>
      <c r="EF67" s="412">
        <v>5.56294705094501E-2</v>
      </c>
      <c r="EG67" s="413">
        <v>859022</v>
      </c>
      <c r="EH67" s="414">
        <f t="shared" si="27"/>
        <v>409.79922490817802</v>
      </c>
      <c r="EI67" s="415">
        <f t="shared" si="28"/>
        <v>1.659735396846755</v>
      </c>
      <c r="EJ67" s="402">
        <v>0</v>
      </c>
      <c r="EM67" s="278" t="s">
        <v>15</v>
      </c>
      <c r="EN67" s="278" t="s">
        <v>99</v>
      </c>
      <c r="EO67" s="278">
        <v>11977.777099999999</v>
      </c>
      <c r="EP67" s="278">
        <v>5.56294705094501E-2</v>
      </c>
      <c r="EQ67" s="289">
        <v>859022</v>
      </c>
      <c r="ER67" s="290">
        <f t="shared" si="29"/>
        <v>409.79922490817802</v>
      </c>
      <c r="ES67" s="291">
        <f t="shared" si="21"/>
        <v>1.659735396846755</v>
      </c>
      <c r="ET67" s="402">
        <v>0</v>
      </c>
      <c r="EV67" s="34"/>
      <c r="EW67" s="34"/>
      <c r="EX67" s="34"/>
      <c r="EY67" s="34"/>
      <c r="EZ67" s="378"/>
      <c r="FA67" s="401"/>
      <c r="FB67" s="402"/>
      <c r="FC67" s="402"/>
    </row>
    <row r="68" spans="133:159" ht="17.149999999999999" customHeight="1">
      <c r="EC68" s="412" t="s">
        <v>15</v>
      </c>
      <c r="ED68" s="412" t="s">
        <v>100</v>
      </c>
      <c r="EE68" s="412">
        <v>5754.1068999999998</v>
      </c>
      <c r="EF68" s="412">
        <v>2.672431766172818E-2</v>
      </c>
      <c r="EG68" s="413">
        <v>859023</v>
      </c>
      <c r="EH68" s="414">
        <f t="shared" si="27"/>
        <v>196.86695853263117</v>
      </c>
      <c r="EI68" s="415">
        <f t="shared" si="28"/>
        <v>0.79733449866671435</v>
      </c>
      <c r="EJ68" s="402">
        <v>0</v>
      </c>
      <c r="EM68" s="278" t="s">
        <v>15</v>
      </c>
      <c r="EN68" s="278" t="s">
        <v>100</v>
      </c>
      <c r="EO68" s="278">
        <v>5754.1068999999998</v>
      </c>
      <c r="EP68" s="278">
        <v>2.672431766172818E-2</v>
      </c>
      <c r="EQ68" s="289">
        <v>859023</v>
      </c>
      <c r="ER68" s="290">
        <f t="shared" si="29"/>
        <v>196.86695853263117</v>
      </c>
      <c r="ES68" s="291">
        <f t="shared" si="21"/>
        <v>0.79733449866671435</v>
      </c>
      <c r="ET68" s="402">
        <v>0</v>
      </c>
      <c r="EV68" s="34"/>
      <c r="EW68" s="34"/>
      <c r="EX68" s="34"/>
      <c r="EY68" s="34"/>
      <c r="EZ68" s="378"/>
      <c r="FA68" s="401"/>
      <c r="FB68" s="402"/>
      <c r="FC68" s="402"/>
    </row>
    <row r="69" spans="133:159" ht="17.149999999999999" customHeight="1">
      <c r="EC69" s="412" t="s">
        <v>15</v>
      </c>
      <c r="ED69" s="412" t="s">
        <v>101</v>
      </c>
      <c r="EE69" s="412">
        <v>6005.2467999999999</v>
      </c>
      <c r="EF69" s="412">
        <v>2.7890709350616452E-2</v>
      </c>
      <c r="EG69" s="413">
        <v>859024</v>
      </c>
      <c r="EH69" s="414">
        <f t="shared" si="27"/>
        <v>205.45928209185962</v>
      </c>
      <c r="EI69" s="415">
        <f t="shared" si="28"/>
        <v>0.83213442674273075</v>
      </c>
      <c r="EJ69" s="402">
        <v>0</v>
      </c>
      <c r="EM69" s="278" t="s">
        <v>15</v>
      </c>
      <c r="EN69" s="278" t="s">
        <v>101</v>
      </c>
      <c r="EO69" s="278">
        <v>6005.2467999999999</v>
      </c>
      <c r="EP69" s="278">
        <v>2.7890709350616452E-2</v>
      </c>
      <c r="EQ69" s="289">
        <v>859024</v>
      </c>
      <c r="ER69" s="290">
        <f t="shared" si="29"/>
        <v>205.45928209185962</v>
      </c>
      <c r="ES69" s="291">
        <f t="shared" si="21"/>
        <v>0.83213442674273075</v>
      </c>
      <c r="ET69" s="402">
        <v>0</v>
      </c>
      <c r="EV69" s="34"/>
      <c r="EW69" s="34"/>
      <c r="EX69" s="34"/>
      <c r="EY69" s="34"/>
      <c r="EZ69" s="378"/>
      <c r="FA69" s="401"/>
      <c r="FB69" s="402"/>
      <c r="FC69" s="402"/>
    </row>
    <row r="70" spans="133:159" ht="17.149999999999999" customHeight="1">
      <c r="EC70" s="412" t="s">
        <v>16</v>
      </c>
      <c r="ED70" s="412" t="s">
        <v>576</v>
      </c>
      <c r="EE70" s="412">
        <v>10596.0813</v>
      </c>
      <c r="EF70" s="412">
        <v>0.3566329663552395</v>
      </c>
      <c r="EG70" s="413">
        <v>859025</v>
      </c>
      <c r="EH70" s="414">
        <f t="shared" si="27"/>
        <v>284.75241411664797</v>
      </c>
      <c r="EI70" s="415">
        <f t="shared" si="28"/>
        <v>1.1532810027956077</v>
      </c>
      <c r="EJ70" s="402">
        <v>0</v>
      </c>
      <c r="EM70" s="278" t="s">
        <v>16</v>
      </c>
      <c r="EN70" s="278" t="s">
        <v>576</v>
      </c>
      <c r="EO70" s="278">
        <v>10596.0813</v>
      </c>
      <c r="EP70" s="278">
        <v>0.3566329663552395</v>
      </c>
      <c r="EQ70" s="289">
        <v>859025</v>
      </c>
      <c r="ER70" s="290">
        <f t="shared" si="29"/>
        <v>284.75241411664797</v>
      </c>
      <c r="ES70" s="291">
        <f t="shared" si="21"/>
        <v>1.1532810027956077</v>
      </c>
      <c r="ET70" s="402">
        <v>0</v>
      </c>
      <c r="EV70" s="34"/>
      <c r="EW70" s="34"/>
      <c r="EX70" s="34"/>
      <c r="EY70" s="34"/>
      <c r="EZ70" s="378"/>
      <c r="FA70" s="401"/>
      <c r="FB70" s="402"/>
      <c r="FC70" s="402"/>
    </row>
    <row r="71" spans="133:159" ht="17.149999999999999" customHeight="1">
      <c r="EC71" s="412" t="s">
        <v>16</v>
      </c>
      <c r="ED71" s="412" t="s">
        <v>577</v>
      </c>
      <c r="EE71" s="412">
        <v>10127.7948</v>
      </c>
      <c r="EF71" s="412">
        <v>0.34087181854306553</v>
      </c>
      <c r="EG71" s="413">
        <v>859026</v>
      </c>
      <c r="EH71" s="414">
        <f t="shared" si="27"/>
        <v>272.16797770115585</v>
      </c>
      <c r="EI71" s="415">
        <f t="shared" si="28"/>
        <v>1.1023125448322244</v>
      </c>
      <c r="EJ71" s="402">
        <v>0</v>
      </c>
      <c r="EM71" s="278" t="s">
        <v>16</v>
      </c>
      <c r="EN71" s="278" t="s">
        <v>577</v>
      </c>
      <c r="EO71" s="278">
        <v>10127.7948</v>
      </c>
      <c r="EP71" s="278">
        <v>0.34087181854306553</v>
      </c>
      <c r="EQ71" s="289">
        <v>859026</v>
      </c>
      <c r="ER71" s="290">
        <f t="shared" si="29"/>
        <v>272.16797770115585</v>
      </c>
      <c r="ES71" s="291">
        <f t="shared" si="21"/>
        <v>1.1023125448322244</v>
      </c>
      <c r="ET71" s="402">
        <v>0</v>
      </c>
      <c r="EV71" s="34"/>
      <c r="EW71" s="34"/>
      <c r="EX71" s="34"/>
      <c r="EY71" s="34"/>
      <c r="EZ71" s="378"/>
      <c r="FA71" s="401"/>
      <c r="FB71" s="402"/>
      <c r="FC71" s="402"/>
    </row>
    <row r="72" spans="133:159" ht="17.149999999999999" customHeight="1">
      <c r="EC72" s="412" t="s">
        <v>16</v>
      </c>
      <c r="ED72" s="412" t="s">
        <v>382</v>
      </c>
      <c r="EE72" s="412">
        <v>8987.5704000000005</v>
      </c>
      <c r="EF72" s="412">
        <v>0.30249521510169491</v>
      </c>
      <c r="EG72" s="413">
        <v>859027</v>
      </c>
      <c r="EH72" s="414">
        <f t="shared" si="27"/>
        <v>241.52630543173808</v>
      </c>
      <c r="EI72" s="415">
        <f t="shared" si="28"/>
        <v>0.97821014299013787</v>
      </c>
      <c r="EJ72" s="402">
        <v>0</v>
      </c>
      <c r="EM72" s="278" t="s">
        <v>16</v>
      </c>
      <c r="EN72" s="278" t="s">
        <v>382</v>
      </c>
      <c r="EO72" s="278">
        <v>8987.5704000000005</v>
      </c>
      <c r="EP72" s="278">
        <v>0.30249521510169491</v>
      </c>
      <c r="EQ72" s="289">
        <v>859027</v>
      </c>
      <c r="ER72" s="290">
        <f t="shared" si="29"/>
        <v>241.52630543173808</v>
      </c>
      <c r="ES72" s="291">
        <f t="shared" si="21"/>
        <v>0.97821014299013787</v>
      </c>
      <c r="ET72" s="402">
        <v>0</v>
      </c>
      <c r="EV72" s="34"/>
      <c r="EW72" s="34"/>
      <c r="EX72" s="34"/>
      <c r="EY72" s="34"/>
      <c r="EZ72" s="378"/>
      <c r="FA72" s="401"/>
      <c r="FB72" s="402"/>
      <c r="FC72" s="402"/>
    </row>
    <row r="73" spans="133:159" ht="17.149999999999999" customHeight="1">
      <c r="EC73" s="412" t="s">
        <v>17</v>
      </c>
      <c r="ED73" s="412" t="s">
        <v>578</v>
      </c>
      <c r="EE73" s="412">
        <v>2607.4872</v>
      </c>
      <c r="EF73" s="412">
        <v>3.7361234000204045E-2</v>
      </c>
      <c r="EG73" s="413">
        <v>859028</v>
      </c>
      <c r="EH73" s="414">
        <f t="shared" si="27"/>
        <v>25.466374124624526</v>
      </c>
      <c r="EI73" s="415">
        <f t="shared" si="28"/>
        <v>0.10314183140159014</v>
      </c>
      <c r="EJ73" s="402">
        <f t="shared" ref="EJ73" si="30">VLOOKUP($ED73,$AC$181:$AG$187,5,FALSE)</f>
        <v>7.2555516428396265</v>
      </c>
      <c r="EM73" s="278" t="s">
        <v>17</v>
      </c>
      <c r="EN73" s="278" t="s">
        <v>578</v>
      </c>
      <c r="EO73" s="278">
        <v>2607.4872</v>
      </c>
      <c r="EP73" s="278">
        <v>3.7361234000204045E-2</v>
      </c>
      <c r="EQ73" s="289">
        <v>859028</v>
      </c>
      <c r="ER73" s="290">
        <f t="shared" si="29"/>
        <v>25.466374124624526</v>
      </c>
      <c r="ES73" s="291">
        <f t="shared" si="21"/>
        <v>0.10314183140159014</v>
      </c>
      <c r="ET73" s="402">
        <f t="shared" ref="ET73" si="31">VLOOKUP($ED73,$AC$181:$AG$187,5,FALSE)</f>
        <v>7.2555516428396265</v>
      </c>
      <c r="EV73" s="34"/>
      <c r="EW73" s="34"/>
      <c r="EX73" s="34"/>
      <c r="EY73" s="34"/>
      <c r="EZ73" s="378"/>
      <c r="FA73" s="401"/>
      <c r="FB73" s="402"/>
      <c r="FC73" s="402"/>
    </row>
    <row r="74" spans="133:159" ht="17.149999999999999" customHeight="1">
      <c r="EC74" s="412" t="s">
        <v>17</v>
      </c>
      <c r="ED74" s="412" t="s">
        <v>103</v>
      </c>
      <c r="EE74" s="412">
        <v>15824.4439</v>
      </c>
      <c r="EF74" s="412">
        <v>0.22673965627559034</v>
      </c>
      <c r="EG74" s="413">
        <v>859029</v>
      </c>
      <c r="EH74" s="414">
        <f t="shared" si="27"/>
        <v>154.551557787717</v>
      </c>
      <c r="EI74" s="415">
        <f t="shared" si="28"/>
        <v>0.62595211388102745</v>
      </c>
      <c r="EJ74" s="402">
        <f>VLOOKUP($ED74,$AC$181:$AG$187,5,FALSE)</f>
        <v>44.032841248719649</v>
      </c>
      <c r="EM74" s="278" t="s">
        <v>17</v>
      </c>
      <c r="EN74" s="278" t="s">
        <v>103</v>
      </c>
      <c r="EO74" s="278">
        <v>15824.4439</v>
      </c>
      <c r="EP74" s="278">
        <v>0.22673965627559034</v>
      </c>
      <c r="EQ74" s="289">
        <v>859029</v>
      </c>
      <c r="ER74" s="290">
        <f t="shared" si="29"/>
        <v>154.551557787717</v>
      </c>
      <c r="ES74" s="291">
        <f t="shared" si="21"/>
        <v>0.62595211388102745</v>
      </c>
      <c r="ET74" s="402">
        <f>VLOOKUP($ED74,$AC$181:$AG$187,5,FALSE)</f>
        <v>44.032841248719649</v>
      </c>
      <c r="EV74" s="34"/>
      <c r="EW74" s="34"/>
      <c r="EX74" s="34"/>
      <c r="EY74" s="34"/>
      <c r="EZ74" s="378"/>
      <c r="FA74" s="401"/>
      <c r="FB74" s="402"/>
      <c r="FC74" s="402"/>
    </row>
    <row r="75" spans="133:159" ht="17.149999999999999" customHeight="1">
      <c r="EC75" s="412" t="s">
        <v>17</v>
      </c>
      <c r="ED75" s="412" t="s">
        <v>104</v>
      </c>
      <c r="EE75" s="412">
        <v>11511.7454</v>
      </c>
      <c r="EF75" s="412">
        <v>0.16494539786817458</v>
      </c>
      <c r="EG75" s="413">
        <v>859030</v>
      </c>
      <c r="EH75" s="414">
        <f t="shared" si="27"/>
        <v>112.43100836077946</v>
      </c>
      <c r="EI75" s="415">
        <f t="shared" si="28"/>
        <v>0.45535890001102619</v>
      </c>
      <c r="EJ75" s="402">
        <f t="shared" ref="EJ75:EJ78" si="32">VLOOKUP($ED75,$AC$181:$AG$187,5,FALSE)</f>
        <v>32.032396265999509</v>
      </c>
      <c r="EM75" s="278" t="s">
        <v>17</v>
      </c>
      <c r="EN75" s="278" t="s">
        <v>104</v>
      </c>
      <c r="EO75" s="278">
        <v>11511.7454</v>
      </c>
      <c r="EP75" s="278">
        <v>0.16494539786817458</v>
      </c>
      <c r="EQ75" s="289">
        <v>859030</v>
      </c>
      <c r="ER75" s="290">
        <f t="shared" si="29"/>
        <v>112.43100836077946</v>
      </c>
      <c r="ES75" s="291">
        <f t="shared" si="21"/>
        <v>0.45535890001102619</v>
      </c>
      <c r="ET75" s="402">
        <f t="shared" ref="ET75:ET78" si="33">VLOOKUP($ED75,$AC$181:$AG$187,5,FALSE)</f>
        <v>32.032396265999509</v>
      </c>
      <c r="EV75" s="34"/>
      <c r="EW75" s="34"/>
      <c r="EX75" s="34"/>
      <c r="EY75" s="34"/>
      <c r="EZ75" s="378"/>
      <c r="FA75" s="401"/>
      <c r="FB75" s="402"/>
      <c r="FC75" s="402"/>
    </row>
    <row r="76" spans="133:159" ht="17.149999999999999" customHeight="1">
      <c r="EC76" s="412" t="s">
        <v>17</v>
      </c>
      <c r="ED76" s="412" t="s">
        <v>117</v>
      </c>
      <c r="EE76" s="412">
        <v>4659.9287999999997</v>
      </c>
      <c r="EF76" s="412">
        <v>6.6769528272694875E-2</v>
      </c>
      <c r="EG76" s="413">
        <v>859031</v>
      </c>
      <c r="EH76" s="414">
        <f t="shared" si="27"/>
        <v>45.511820811589246</v>
      </c>
      <c r="EI76" s="415">
        <f t="shared" si="28"/>
        <v>0.18432826463463142</v>
      </c>
      <c r="EJ76" s="402">
        <f t="shared" si="32"/>
        <v>12.966642390557347</v>
      </c>
      <c r="EM76" s="278" t="s">
        <v>17</v>
      </c>
      <c r="EN76" s="278" t="s">
        <v>117</v>
      </c>
      <c r="EO76" s="278">
        <v>4659.9287999999997</v>
      </c>
      <c r="EP76" s="278">
        <v>6.6769528272694875E-2</v>
      </c>
      <c r="EQ76" s="289">
        <v>859031</v>
      </c>
      <c r="ER76" s="290">
        <f t="shared" si="29"/>
        <v>45.511820811589246</v>
      </c>
      <c r="ES76" s="291">
        <f t="shared" si="21"/>
        <v>0.18432826463463142</v>
      </c>
      <c r="ET76" s="402">
        <f t="shared" si="33"/>
        <v>12.966642390557347</v>
      </c>
      <c r="EV76" s="34"/>
      <c r="EW76" s="34"/>
      <c r="EX76" s="34"/>
      <c r="EY76" s="34"/>
      <c r="EZ76" s="378"/>
      <c r="FA76" s="401"/>
      <c r="FB76" s="402"/>
      <c r="FC76" s="402"/>
    </row>
    <row r="77" spans="133:159" ht="17.149999999999999" customHeight="1">
      <c r="EC77" s="412" t="s">
        <v>17</v>
      </c>
      <c r="ED77" s="412" t="s">
        <v>118</v>
      </c>
      <c r="EE77" s="412">
        <v>23055.857</v>
      </c>
      <c r="EF77" s="412">
        <v>0.33035455301649896</v>
      </c>
      <c r="EG77" s="413">
        <v>859032</v>
      </c>
      <c r="EH77" s="414">
        <f t="shared" si="27"/>
        <v>225.17812556312577</v>
      </c>
      <c r="EI77" s="415">
        <f t="shared" si="28"/>
        <v>0.91199807826982693</v>
      </c>
      <c r="EJ77" s="402">
        <f t="shared" si="32"/>
        <v>64.154854195804106</v>
      </c>
      <c r="EM77" s="278" t="s">
        <v>17</v>
      </c>
      <c r="EN77" s="278" t="s">
        <v>118</v>
      </c>
      <c r="EO77" s="278">
        <v>23055.857</v>
      </c>
      <c r="EP77" s="278">
        <v>0.33035455301649896</v>
      </c>
      <c r="EQ77" s="289">
        <v>859032</v>
      </c>
      <c r="ER77" s="290">
        <f t="shared" si="29"/>
        <v>225.17812556312577</v>
      </c>
      <c r="ES77" s="291">
        <f t="shared" si="21"/>
        <v>0.91199807826982693</v>
      </c>
      <c r="ET77" s="402">
        <f t="shared" si="33"/>
        <v>64.154854195804106</v>
      </c>
      <c r="EV77" s="34"/>
      <c r="EW77" s="34"/>
      <c r="EX77" s="34"/>
      <c r="EY77" s="34"/>
      <c r="EZ77" s="378"/>
      <c r="FA77" s="401"/>
      <c r="FB77" s="402"/>
      <c r="FC77" s="402"/>
    </row>
    <row r="78" spans="133:159" ht="17.149999999999999" customHeight="1">
      <c r="EC78" s="412" t="s">
        <v>17</v>
      </c>
      <c r="ED78" s="412" t="s">
        <v>119</v>
      </c>
      <c r="EE78" s="412">
        <v>12131.7871</v>
      </c>
      <c r="EF78" s="412">
        <v>0.17382963056683723</v>
      </c>
      <c r="EG78" s="413">
        <v>859033</v>
      </c>
      <c r="EH78" s="414">
        <f t="shared" si="27"/>
        <v>118.48672894305813</v>
      </c>
      <c r="EI78" s="415">
        <f t="shared" si="28"/>
        <v>0.47988528559917226</v>
      </c>
      <c r="EJ78" s="402">
        <f t="shared" si="32"/>
        <v>33.757714256079787</v>
      </c>
      <c r="EM78" s="278" t="s">
        <v>17</v>
      </c>
      <c r="EN78" s="278" t="s">
        <v>119</v>
      </c>
      <c r="EO78" s="278">
        <v>12131.7871</v>
      </c>
      <c r="EP78" s="278">
        <v>0.17382963056683723</v>
      </c>
      <c r="EQ78" s="289">
        <v>859033</v>
      </c>
      <c r="ER78" s="290">
        <f t="shared" si="29"/>
        <v>118.48672894305813</v>
      </c>
      <c r="ES78" s="291">
        <f t="shared" si="21"/>
        <v>0.47988528559917226</v>
      </c>
      <c r="ET78" s="402">
        <f t="shared" si="33"/>
        <v>33.757714256079787</v>
      </c>
      <c r="EV78" s="34"/>
      <c r="EW78" s="34"/>
      <c r="EX78" s="34"/>
      <c r="EY78" s="34"/>
      <c r="EZ78" s="378"/>
      <c r="FA78" s="401"/>
      <c r="FB78" s="402"/>
      <c r="FC78" s="402"/>
    </row>
    <row r="79" spans="133:159" ht="17.149999999999999" customHeight="1">
      <c r="EC79" s="412" t="s">
        <v>853</v>
      </c>
      <c r="ED79" s="412" t="s">
        <v>580</v>
      </c>
      <c r="EE79" s="412">
        <v>17191.4817</v>
      </c>
      <c r="EF79" s="412">
        <v>0.33368246308233862</v>
      </c>
      <c r="EG79" s="413">
        <v>859034</v>
      </c>
      <c r="EH79" s="414">
        <f t="shared" si="27"/>
        <v>292.01963051921985</v>
      </c>
      <c r="EI79" s="415">
        <f t="shared" si="28"/>
        <v>1.1827140899435797</v>
      </c>
      <c r="EJ79" s="402">
        <v>0</v>
      </c>
      <c r="EM79" s="278" t="s">
        <v>853</v>
      </c>
      <c r="EN79" s="278" t="s">
        <v>580</v>
      </c>
      <c r="EO79" s="278">
        <v>17191.4817</v>
      </c>
      <c r="EP79" s="278">
        <v>0.33368246308233862</v>
      </c>
      <c r="EQ79" s="289">
        <v>859034</v>
      </c>
      <c r="ER79" s="290">
        <f t="shared" si="29"/>
        <v>292.01963051921985</v>
      </c>
      <c r="ES79" s="291">
        <f t="shared" si="21"/>
        <v>1.1827140899435797</v>
      </c>
      <c r="ET79" s="402">
        <v>0</v>
      </c>
      <c r="EV79" s="34"/>
      <c r="EW79" s="34"/>
      <c r="EX79" s="34"/>
      <c r="EY79" s="34"/>
      <c r="EZ79" s="378"/>
      <c r="FA79" s="401"/>
      <c r="FB79" s="402"/>
      <c r="FC79" s="402"/>
    </row>
    <row r="80" spans="133:159" ht="17.149999999999999" customHeight="1">
      <c r="EC80" s="412" t="s">
        <v>579</v>
      </c>
      <c r="ED80" s="412" t="s">
        <v>581</v>
      </c>
      <c r="EE80" s="412">
        <v>22736.497299999999</v>
      </c>
      <c r="EF80" s="412">
        <v>0.44130986225166047</v>
      </c>
      <c r="EG80" s="413">
        <v>859035</v>
      </c>
      <c r="EH80" s="414">
        <f t="shared" si="27"/>
        <v>386.20891769016271</v>
      </c>
      <c r="EI80" s="415">
        <f t="shared" si="28"/>
        <v>1.5641918586153141</v>
      </c>
      <c r="EJ80" s="402">
        <v>0</v>
      </c>
      <c r="EM80" s="278" t="s">
        <v>579</v>
      </c>
      <c r="EN80" s="278" t="s">
        <v>581</v>
      </c>
      <c r="EO80" s="278">
        <v>22736.497299999999</v>
      </c>
      <c r="EP80" s="278">
        <v>0.44130986225166047</v>
      </c>
      <c r="EQ80" s="289">
        <v>859035</v>
      </c>
      <c r="ER80" s="290">
        <f t="shared" si="29"/>
        <v>386.20891769016271</v>
      </c>
      <c r="ES80" s="291">
        <f t="shared" si="21"/>
        <v>1.5641918586153141</v>
      </c>
      <c r="ET80" s="402">
        <v>0</v>
      </c>
      <c r="EV80" s="34"/>
      <c r="EW80" s="34"/>
      <c r="EX80" s="34"/>
      <c r="EY80" s="34"/>
      <c r="EZ80" s="378"/>
      <c r="FA80" s="401"/>
      <c r="FB80" s="402"/>
      <c r="FC80" s="402"/>
    </row>
    <row r="81" spans="1:159" ht="17.149999999999999" customHeight="1">
      <c r="EC81" s="412" t="s">
        <v>579</v>
      </c>
      <c r="ED81" s="412" t="s">
        <v>582</v>
      </c>
      <c r="EE81" s="412">
        <v>11592.5041</v>
      </c>
      <c r="EF81" s="412">
        <v>0.22500767466600097</v>
      </c>
      <c r="EG81" s="413">
        <v>859036</v>
      </c>
      <c r="EH81" s="414">
        <f t="shared" si="27"/>
        <v>196.91372873779346</v>
      </c>
      <c r="EI81" s="415">
        <f t="shared" si="28"/>
        <v>0.79752392353701063</v>
      </c>
      <c r="EJ81" s="402">
        <v>0</v>
      </c>
      <c r="EM81" s="278" t="s">
        <v>579</v>
      </c>
      <c r="EN81" s="278" t="s">
        <v>582</v>
      </c>
      <c r="EO81" s="278">
        <v>11592.5041</v>
      </c>
      <c r="EP81" s="278">
        <v>0.22500767466600097</v>
      </c>
      <c r="EQ81" s="289">
        <v>859036</v>
      </c>
      <c r="ER81" s="290">
        <f t="shared" si="29"/>
        <v>196.91372873779346</v>
      </c>
      <c r="ES81" s="291">
        <f t="shared" si="21"/>
        <v>0.79752392353701063</v>
      </c>
      <c r="ET81" s="402">
        <v>0</v>
      </c>
      <c r="EV81" s="34"/>
      <c r="EW81" s="34"/>
      <c r="EX81" s="34"/>
      <c r="EY81" s="34"/>
      <c r="EZ81" s="378"/>
      <c r="FA81" s="401"/>
      <c r="FB81" s="402"/>
      <c r="FC81" s="402"/>
    </row>
    <row r="82" spans="1:159" ht="17.149999999999999" customHeight="1">
      <c r="EC82" s="412" t="s">
        <v>24</v>
      </c>
      <c r="ED82" s="412" t="s">
        <v>583</v>
      </c>
      <c r="EE82" s="412">
        <v>11518.725399999999</v>
      </c>
      <c r="EF82" s="412">
        <v>0.5685947059337656</v>
      </c>
      <c r="EG82" s="413">
        <v>859037</v>
      </c>
      <c r="EH82" s="414">
        <f t="shared" si="27"/>
        <v>157.54004085362317</v>
      </c>
      <c r="EI82" s="415">
        <f t="shared" si="28"/>
        <v>0.63805582424913032</v>
      </c>
      <c r="EJ82" s="402">
        <v>0</v>
      </c>
      <c r="EM82" s="278" t="s">
        <v>24</v>
      </c>
      <c r="EN82" s="278" t="s">
        <v>583</v>
      </c>
      <c r="EO82" s="278">
        <v>11518.725399999999</v>
      </c>
      <c r="EP82" s="278">
        <v>0.5685947059337656</v>
      </c>
      <c r="EQ82" s="289">
        <v>859037</v>
      </c>
      <c r="ER82" s="290">
        <f t="shared" si="29"/>
        <v>157.54004085362317</v>
      </c>
      <c r="ES82" s="291">
        <f t="shared" si="21"/>
        <v>0.63805582424913032</v>
      </c>
      <c r="ET82" s="402">
        <v>0</v>
      </c>
      <c r="EV82" s="34"/>
      <c r="EW82" s="34"/>
      <c r="EX82" s="34"/>
      <c r="EY82" s="34"/>
      <c r="EZ82" s="378"/>
      <c r="FA82" s="401"/>
      <c r="FB82" s="402"/>
      <c r="FC82" s="402"/>
    </row>
    <row r="83" spans="1:159" ht="17.149999999999999" customHeight="1">
      <c r="EC83" s="412" t="s">
        <v>24</v>
      </c>
      <c r="ED83" s="412" t="s">
        <v>584</v>
      </c>
      <c r="EE83" s="412">
        <v>8739.51</v>
      </c>
      <c r="EF83" s="412">
        <v>0.43140529406623446</v>
      </c>
      <c r="EG83" s="413">
        <v>859038</v>
      </c>
      <c r="EH83" s="414">
        <f t="shared" si="27"/>
        <v>119.52908977590943</v>
      </c>
      <c r="EI83" s="415">
        <f t="shared" si="28"/>
        <v>0.48410697042777984</v>
      </c>
      <c r="EJ83" s="402">
        <v>0</v>
      </c>
      <c r="EM83" s="278" t="s">
        <v>24</v>
      </c>
      <c r="EN83" s="278" t="s">
        <v>584</v>
      </c>
      <c r="EO83" s="278">
        <v>8739.51</v>
      </c>
      <c r="EP83" s="278">
        <v>0.43140529406623446</v>
      </c>
      <c r="EQ83" s="289">
        <v>859038</v>
      </c>
      <c r="ER83" s="290">
        <f t="shared" si="29"/>
        <v>119.52908977590943</v>
      </c>
      <c r="ES83" s="291">
        <f t="shared" si="21"/>
        <v>0.48410697042777984</v>
      </c>
      <c r="ET83" s="402">
        <v>0</v>
      </c>
      <c r="EV83" s="34"/>
      <c r="EW83" s="34"/>
      <c r="EX83" s="34"/>
      <c r="EY83" s="34"/>
      <c r="EZ83" s="378"/>
      <c r="FA83" s="401"/>
      <c r="FB83" s="402"/>
      <c r="FC83" s="402"/>
    </row>
    <row r="84" spans="1:159" ht="17.149999999999999" customHeight="1">
      <c r="EC84" s="412" t="s">
        <v>482</v>
      </c>
      <c r="ED84" s="412" t="s">
        <v>585</v>
      </c>
      <c r="EE84" s="412">
        <v>2599.7966999999999</v>
      </c>
      <c r="EF84" s="412">
        <v>0.17076241811950377</v>
      </c>
      <c r="EG84" s="413">
        <v>859039</v>
      </c>
      <c r="EH84" s="414">
        <f t="shared" si="27"/>
        <v>14.918121162239474</v>
      </c>
      <c r="EI84" s="415">
        <f t="shared" si="28"/>
        <v>6.042015758562113E-2</v>
      </c>
      <c r="EJ84" s="402">
        <v>0</v>
      </c>
      <c r="EM84" s="278" t="s">
        <v>482</v>
      </c>
      <c r="EN84" s="278" t="s">
        <v>585</v>
      </c>
      <c r="EO84" s="278">
        <v>2599.7966999999999</v>
      </c>
      <c r="EP84" s="278">
        <v>0.17076241811950377</v>
      </c>
      <c r="EQ84" s="289">
        <v>859039</v>
      </c>
      <c r="ER84" s="290">
        <f t="shared" si="29"/>
        <v>14.918121162239474</v>
      </c>
      <c r="ES84" s="291">
        <f t="shared" si="21"/>
        <v>6.042015758562113E-2</v>
      </c>
      <c r="ET84" s="402">
        <v>0</v>
      </c>
      <c r="EV84" s="34"/>
      <c r="EW84" s="34"/>
      <c r="EX84" s="34"/>
      <c r="EY84" s="34"/>
      <c r="EZ84" s="378"/>
      <c r="FA84" s="401"/>
      <c r="FB84" s="402"/>
      <c r="FC84" s="402"/>
    </row>
    <row r="85" spans="1:159" ht="17.149999999999999" customHeight="1">
      <c r="EC85" s="412" t="s">
        <v>482</v>
      </c>
      <c r="ED85" s="412" t="s">
        <v>393</v>
      </c>
      <c r="EE85" s="412">
        <v>1032.4983</v>
      </c>
      <c r="EF85" s="412">
        <v>6.7817574509682552E-2</v>
      </c>
      <c r="EG85" s="413">
        <v>859040</v>
      </c>
      <c r="EH85" s="414">
        <f t="shared" si="27"/>
        <v>5.9246689324616346</v>
      </c>
      <c r="EI85" s="415">
        <f t="shared" si="28"/>
        <v>2.3995610884838002E-2</v>
      </c>
      <c r="EJ85" s="402">
        <v>0</v>
      </c>
      <c r="EM85" s="278" t="s">
        <v>482</v>
      </c>
      <c r="EN85" s="278" t="s">
        <v>393</v>
      </c>
      <c r="EO85" s="278">
        <v>1032.4983</v>
      </c>
      <c r="EP85" s="278">
        <v>6.7817574509682552E-2</v>
      </c>
      <c r="EQ85" s="289">
        <v>859040</v>
      </c>
      <c r="ER85" s="290">
        <f t="shared" si="29"/>
        <v>5.9246689324616346</v>
      </c>
      <c r="ES85" s="291">
        <f t="shared" si="21"/>
        <v>2.3995610884838002E-2</v>
      </c>
      <c r="ET85" s="402">
        <v>0</v>
      </c>
      <c r="EV85" s="34"/>
      <c r="EW85" s="34"/>
      <c r="EX85" s="34"/>
      <c r="EY85" s="34"/>
      <c r="EZ85" s="378"/>
      <c r="FA85" s="401"/>
      <c r="FB85" s="402"/>
      <c r="FC85" s="402"/>
    </row>
    <row r="86" spans="1:159" ht="17.149999999999999" customHeight="1">
      <c r="EC86" s="412" t="s">
        <v>482</v>
      </c>
      <c r="ED86" s="412" t="s">
        <v>130</v>
      </c>
      <c r="EE86" s="412">
        <v>1625.5998999999999</v>
      </c>
      <c r="EF86" s="412">
        <v>0.10677426039460067</v>
      </c>
      <c r="EG86" s="413">
        <v>859041</v>
      </c>
      <c r="EH86" s="414">
        <f t="shared" si="27"/>
        <v>9.3279971735960654</v>
      </c>
      <c r="EI86" s="415">
        <f t="shared" si="28"/>
        <v>3.777949334621817E-2</v>
      </c>
      <c r="EJ86" s="402">
        <v>0</v>
      </c>
      <c r="EM86" s="278" t="s">
        <v>482</v>
      </c>
      <c r="EN86" s="278" t="s">
        <v>130</v>
      </c>
      <c r="EO86" s="278">
        <v>1625.5998999999999</v>
      </c>
      <c r="EP86" s="278">
        <v>0.10677426039460067</v>
      </c>
      <c r="EQ86" s="289">
        <v>859041</v>
      </c>
      <c r="ER86" s="290">
        <f t="shared" si="29"/>
        <v>9.3279971735960654</v>
      </c>
      <c r="ES86" s="291">
        <f t="shared" si="21"/>
        <v>3.777949334621817E-2</v>
      </c>
      <c r="ET86" s="402">
        <v>0</v>
      </c>
      <c r="EV86" s="34"/>
      <c r="EW86" s="34"/>
      <c r="EX86" s="34"/>
      <c r="EY86" s="34"/>
      <c r="EZ86" s="378"/>
      <c r="FA86" s="401"/>
      <c r="FB86" s="402"/>
      <c r="FC86" s="402"/>
    </row>
    <row r="87" spans="1:159" ht="17.149999999999999" customHeight="1">
      <c r="EC87" s="412" t="s">
        <v>482</v>
      </c>
      <c r="ED87" s="412" t="s">
        <v>131</v>
      </c>
      <c r="EE87" s="412">
        <v>2880.0880999999999</v>
      </c>
      <c r="EF87" s="412">
        <v>0.18917279507017112</v>
      </c>
      <c r="EG87" s="413">
        <v>859042</v>
      </c>
      <c r="EH87" s="414">
        <f t="shared" si="27"/>
        <v>16.526485795494732</v>
      </c>
      <c r="EI87" s="415">
        <f t="shared" si="28"/>
        <v>6.6934224842454856E-2</v>
      </c>
      <c r="EJ87" s="402">
        <v>0</v>
      </c>
      <c r="EM87" s="278" t="s">
        <v>482</v>
      </c>
      <c r="EN87" s="278" t="s">
        <v>131</v>
      </c>
      <c r="EO87" s="278">
        <v>2880.0880999999999</v>
      </c>
      <c r="EP87" s="278">
        <v>0.18917279507017112</v>
      </c>
      <c r="EQ87" s="289">
        <v>859042</v>
      </c>
      <c r="ER87" s="290">
        <f t="shared" si="29"/>
        <v>16.526485795494732</v>
      </c>
      <c r="ES87" s="291">
        <f t="shared" si="21"/>
        <v>6.6934224842454856E-2</v>
      </c>
      <c r="ET87" s="402">
        <v>0</v>
      </c>
      <c r="EV87" s="34"/>
      <c r="EW87" s="34"/>
      <c r="EX87" s="34"/>
      <c r="EY87" s="34"/>
      <c r="EZ87" s="378"/>
      <c r="FA87" s="401"/>
      <c r="FB87" s="402"/>
      <c r="FC87" s="402"/>
    </row>
    <row r="88" spans="1:159" ht="17.149999999999999" customHeight="1">
      <c r="EC88" s="412" t="s">
        <v>482</v>
      </c>
      <c r="ED88" s="412" t="s">
        <v>132</v>
      </c>
      <c r="EE88" s="412">
        <v>687.99680000000001</v>
      </c>
      <c r="EF88" s="412">
        <v>4.5189686265268592E-2</v>
      </c>
      <c r="EG88" s="413">
        <v>859043</v>
      </c>
      <c r="EH88" s="414">
        <f t="shared" si="27"/>
        <v>3.9478547001898421</v>
      </c>
      <c r="EI88" s="415">
        <f t="shared" si="28"/>
        <v>1.5989279113402623E-2</v>
      </c>
      <c r="EJ88" s="402">
        <v>0</v>
      </c>
      <c r="EM88" s="278" t="s">
        <v>482</v>
      </c>
      <c r="EN88" s="278" t="s">
        <v>132</v>
      </c>
      <c r="EO88" s="278">
        <v>687.99680000000001</v>
      </c>
      <c r="EP88" s="278">
        <v>4.5189686265268592E-2</v>
      </c>
      <c r="EQ88" s="289">
        <v>859043</v>
      </c>
      <c r="ER88" s="290">
        <f t="shared" si="29"/>
        <v>3.9478547001898421</v>
      </c>
      <c r="ES88" s="291">
        <f t="shared" si="21"/>
        <v>1.5989279113402623E-2</v>
      </c>
      <c r="ET88" s="402">
        <v>0</v>
      </c>
      <c r="EV88" s="34"/>
      <c r="EW88" s="34"/>
      <c r="EX88" s="34"/>
      <c r="EY88" s="34"/>
      <c r="EZ88" s="378"/>
      <c r="FA88" s="401"/>
      <c r="FB88" s="402"/>
      <c r="FC88" s="402"/>
    </row>
    <row r="89" spans="1:159" ht="17.149999999999999" customHeight="1">
      <c r="EC89" s="412" t="s">
        <v>482</v>
      </c>
      <c r="ED89" s="412" t="s">
        <v>133</v>
      </c>
      <c r="EE89" s="412">
        <v>2308.0711000000001</v>
      </c>
      <c r="EF89" s="412">
        <v>0.15160100873569959</v>
      </c>
      <c r="EG89" s="413">
        <v>859044</v>
      </c>
      <c r="EH89" s="414">
        <f t="shared" si="27"/>
        <v>13.244144944434828</v>
      </c>
      <c r="EI89" s="415">
        <f t="shared" si="28"/>
        <v>5.3640355640430619E-2</v>
      </c>
      <c r="EJ89" s="402">
        <v>0</v>
      </c>
      <c r="EM89" s="278" t="s">
        <v>482</v>
      </c>
      <c r="EN89" s="278" t="s">
        <v>133</v>
      </c>
      <c r="EO89" s="278">
        <v>2308.0711000000001</v>
      </c>
      <c r="EP89" s="278">
        <v>0.15160100873569959</v>
      </c>
      <c r="EQ89" s="289">
        <v>859044</v>
      </c>
      <c r="ER89" s="290">
        <f t="shared" si="29"/>
        <v>13.244144944434828</v>
      </c>
      <c r="ES89" s="291">
        <f t="shared" si="21"/>
        <v>5.3640355640430619E-2</v>
      </c>
      <c r="ET89" s="402">
        <v>0</v>
      </c>
      <c r="EV89" s="34"/>
      <c r="EW89" s="34"/>
      <c r="EX89" s="34"/>
      <c r="EY89" s="34"/>
      <c r="EZ89" s="378"/>
      <c r="FA89" s="401"/>
      <c r="FB89" s="402"/>
      <c r="FC89" s="402"/>
    </row>
    <row r="90" spans="1:159" ht="17.149999999999999" customHeight="1">
      <c r="EC90" s="412" t="s">
        <v>482</v>
      </c>
      <c r="ED90" s="412" t="s">
        <v>134</v>
      </c>
      <c r="EE90" s="412">
        <v>4090.5911999999998</v>
      </c>
      <c r="EF90" s="412">
        <v>0.26868225690507364</v>
      </c>
      <c r="EG90" s="413">
        <v>859045</v>
      </c>
      <c r="EH90" s="414">
        <f t="shared" si="27"/>
        <v>23.472579662398434</v>
      </c>
      <c r="EI90" s="415">
        <f t="shared" si="28"/>
        <v>9.5066727687728447E-2</v>
      </c>
      <c r="EJ90" s="402">
        <v>0</v>
      </c>
      <c r="EM90" s="278" t="s">
        <v>482</v>
      </c>
      <c r="EN90" s="278" t="s">
        <v>134</v>
      </c>
      <c r="EO90" s="278">
        <v>4090.5911999999998</v>
      </c>
      <c r="EP90" s="278">
        <v>0.26868225690507364</v>
      </c>
      <c r="EQ90" s="289">
        <v>859045</v>
      </c>
      <c r="ER90" s="290">
        <f t="shared" si="29"/>
        <v>23.472579662398434</v>
      </c>
      <c r="ES90" s="291">
        <f t="shared" si="21"/>
        <v>9.5066727687728447E-2</v>
      </c>
      <c r="ET90" s="402">
        <v>0</v>
      </c>
      <c r="EV90" s="34"/>
      <c r="EW90" s="34"/>
      <c r="EX90" s="34"/>
      <c r="EY90" s="34"/>
      <c r="EZ90" s="378"/>
      <c r="FA90" s="401"/>
      <c r="FB90" s="402"/>
      <c r="FC90" s="402"/>
    </row>
    <row r="91" spans="1:159" ht="17.149999999999999" customHeight="1">
      <c r="EH91" s="230">
        <f>SUM(EH46:EH90)</f>
        <v>10425.519661414821</v>
      </c>
      <c r="EI91" s="230">
        <f>SUM(EI46:EI90)</f>
        <v>42.224589410702585</v>
      </c>
      <c r="EJ91">
        <f>SUM(EJ46:EJ90)</f>
        <v>194.20000000000005</v>
      </c>
      <c r="ER91" s="230">
        <f>SUM(ER46:ER90)</f>
        <v>10425.519661414821</v>
      </c>
      <c r="ES91" s="230">
        <f>SUM(ES46:ES90)</f>
        <v>42.224589410702585</v>
      </c>
      <c r="ET91" s="230">
        <f>SUM(ET46:ET90)</f>
        <v>194.20000000000005</v>
      </c>
      <c r="FA91" s="230"/>
    </row>
    <row r="92" spans="1:159" s="227" customFormat="1" ht="25.5">
      <c r="A92" s="285">
        <v>2025</v>
      </c>
      <c r="EH92" s="230"/>
      <c r="EI92" s="230"/>
      <c r="ER92" s="230"/>
      <c r="ES92" s="230"/>
    </row>
    <row r="93" spans="1:159" ht="25.5" customHeight="1" thickBot="1">
      <c r="A93" s="32" t="s">
        <v>470</v>
      </c>
      <c r="C93" t="s">
        <v>464</v>
      </c>
      <c r="D93" t="s">
        <v>468</v>
      </c>
      <c r="E93" t="s">
        <v>465</v>
      </c>
      <c r="F93" t="s">
        <v>466</v>
      </c>
      <c r="G93" t="s">
        <v>467</v>
      </c>
      <c r="H93" t="s">
        <v>21</v>
      </c>
      <c r="K93" s="32" t="s">
        <v>472</v>
      </c>
      <c r="CV93" s="32" t="s">
        <v>493</v>
      </c>
      <c r="CY93" t="s">
        <v>479</v>
      </c>
      <c r="CZ93" t="s">
        <v>480</v>
      </c>
      <c r="EC93" s="353" t="s">
        <v>859</v>
      </c>
      <c r="EI93" t="s">
        <v>600</v>
      </c>
      <c r="ES93" t="s">
        <v>601</v>
      </c>
      <c r="EV93" s="353"/>
    </row>
    <row r="94" spans="1:159" ht="25.5" customHeight="1">
      <c r="A94" t="s">
        <v>463</v>
      </c>
      <c r="C94" t="s">
        <v>427</v>
      </c>
      <c r="D94" t="s">
        <v>428</v>
      </c>
      <c r="E94" t="s">
        <v>429</v>
      </c>
      <c r="F94" t="s">
        <v>430</v>
      </c>
      <c r="G94" t="s">
        <v>431</v>
      </c>
      <c r="H94" t="s">
        <v>457</v>
      </c>
      <c r="K94" s="159" t="s">
        <v>483</v>
      </c>
      <c r="L94" s="159"/>
      <c r="M94" s="567" t="s">
        <v>464</v>
      </c>
      <c r="N94" s="568"/>
      <c r="O94" s="568"/>
      <c r="P94" s="568"/>
      <c r="Q94" s="568"/>
      <c r="R94" s="568"/>
      <c r="S94" s="568"/>
      <c r="T94" s="568"/>
      <c r="U94" s="568"/>
      <c r="V94" s="568"/>
      <c r="W94" s="568"/>
      <c r="X94" s="568"/>
      <c r="Y94" s="568"/>
      <c r="Z94" s="569"/>
      <c r="AA94" s="567" t="s">
        <v>468</v>
      </c>
      <c r="AB94" s="568"/>
      <c r="AC94" s="568"/>
      <c r="AD94" s="568"/>
      <c r="AE94" s="568"/>
      <c r="AF94" s="568"/>
      <c r="AG94" s="568"/>
      <c r="AH94" s="568"/>
      <c r="AI94" s="568"/>
      <c r="AJ94" s="568"/>
      <c r="AK94" s="568"/>
      <c r="AL94" s="568"/>
      <c r="AM94" s="568"/>
      <c r="AN94" s="569"/>
      <c r="AO94" s="567" t="s">
        <v>465</v>
      </c>
      <c r="AP94" s="568"/>
      <c r="AQ94" s="568"/>
      <c r="AR94" s="568"/>
      <c r="AS94" s="568"/>
      <c r="AT94" s="568"/>
      <c r="AU94" s="568"/>
      <c r="AV94" s="568"/>
      <c r="AW94" s="568"/>
      <c r="AX94" s="568"/>
      <c r="AY94" s="568"/>
      <c r="AZ94" s="568"/>
      <c r="BA94" s="568"/>
      <c r="BB94" s="569"/>
      <c r="BC94" s="567" t="s">
        <v>466</v>
      </c>
      <c r="BD94" s="568"/>
      <c r="BE94" s="568"/>
      <c r="BF94" s="568"/>
      <c r="BG94" s="568"/>
      <c r="BH94" s="568"/>
      <c r="BI94" s="568"/>
      <c r="BJ94" s="568"/>
      <c r="BK94" s="568"/>
      <c r="BL94" s="568"/>
      <c r="BM94" s="568"/>
      <c r="BN94" s="568"/>
      <c r="BO94" s="568"/>
      <c r="BP94" s="569"/>
      <c r="BQ94" s="567" t="s">
        <v>467</v>
      </c>
      <c r="BR94" s="568"/>
      <c r="BS94" s="568"/>
      <c r="BT94" s="568"/>
      <c r="BU94" s="568"/>
      <c r="BV94" s="568"/>
      <c r="BW94" s="568"/>
      <c r="BX94" s="568"/>
      <c r="BY94" s="568"/>
      <c r="BZ94" s="568"/>
      <c r="CA94" s="568"/>
      <c r="CB94" s="568"/>
      <c r="CC94" s="568"/>
      <c r="CD94" s="569"/>
      <c r="CE94" s="567" t="s">
        <v>21</v>
      </c>
      <c r="CF94" s="568"/>
      <c r="CG94" s="568"/>
      <c r="CH94" s="568"/>
      <c r="CI94" s="568"/>
      <c r="CJ94" s="568"/>
      <c r="CK94" s="568"/>
      <c r="CL94" s="568"/>
      <c r="CM94" s="568"/>
      <c r="CN94" s="568"/>
      <c r="CO94" s="568"/>
      <c r="CP94" s="568"/>
      <c r="CQ94" s="568"/>
      <c r="CR94" s="569"/>
      <c r="CV94" s="263" t="s">
        <v>483</v>
      </c>
      <c r="CW94" s="263"/>
      <c r="CX94" s="570" t="s">
        <v>555</v>
      </c>
      <c r="CY94" s="570"/>
      <c r="CZ94" s="570"/>
      <c r="DA94" s="570"/>
      <c r="DB94" s="571" t="s">
        <v>554</v>
      </c>
      <c r="DC94" s="570"/>
      <c r="DD94" s="570"/>
      <c r="DE94" s="570"/>
      <c r="DF94" s="571" t="s">
        <v>465</v>
      </c>
      <c r="DG94" s="570"/>
      <c r="DH94" s="570"/>
      <c r="DI94" s="570"/>
      <c r="DJ94" s="571" t="s">
        <v>466</v>
      </c>
      <c r="DK94" s="570"/>
      <c r="DL94" s="570"/>
      <c r="DM94" s="570"/>
      <c r="DN94" s="571" t="s">
        <v>467</v>
      </c>
      <c r="DO94" s="570"/>
      <c r="DP94" s="570"/>
      <c r="DQ94" s="570"/>
      <c r="DR94" s="571" t="s">
        <v>21</v>
      </c>
      <c r="DS94" s="570"/>
      <c r="DT94" s="570"/>
      <c r="DU94" s="570"/>
      <c r="DW94" s="278"/>
      <c r="DX94" s="278"/>
      <c r="DY94" s="444" t="s">
        <v>589</v>
      </c>
      <c r="DZ94" s="444"/>
      <c r="EC94" s="412" t="s">
        <v>565</v>
      </c>
      <c r="ED94" s="412" t="s">
        <v>566</v>
      </c>
      <c r="EE94" s="412" t="s">
        <v>567</v>
      </c>
      <c r="EF94" s="412" t="s">
        <v>563</v>
      </c>
      <c r="EG94" s="417" t="s">
        <v>598</v>
      </c>
      <c r="EH94" s="418" t="s">
        <v>586</v>
      </c>
      <c r="EI94" s="419" t="s">
        <v>537</v>
      </c>
      <c r="EJ94" s="377" t="s">
        <v>857</v>
      </c>
      <c r="EM94" s="278" t="s">
        <v>565</v>
      </c>
      <c r="EN94" s="278" t="s">
        <v>566</v>
      </c>
      <c r="EO94" s="278" t="s">
        <v>567</v>
      </c>
      <c r="EP94" s="278" t="s">
        <v>563</v>
      </c>
      <c r="EQ94" s="286" t="s">
        <v>599</v>
      </c>
      <c r="ER94" s="287" t="s">
        <v>821</v>
      </c>
      <c r="ES94" s="288" t="s">
        <v>537</v>
      </c>
      <c r="ET94" s="377" t="s">
        <v>822</v>
      </c>
      <c r="EV94" s="34"/>
      <c r="EW94" s="34"/>
      <c r="EX94" s="34"/>
      <c r="EY94" s="34"/>
      <c r="EZ94" s="375"/>
      <c r="FA94" s="376"/>
      <c r="FB94" s="377"/>
      <c r="FC94" s="377"/>
    </row>
    <row r="95" spans="1:159">
      <c r="A95" s="199"/>
      <c r="B95" s="199"/>
      <c r="C95" s="202" t="s">
        <v>464</v>
      </c>
      <c r="D95" s="202" t="s">
        <v>468</v>
      </c>
      <c r="E95" s="202" t="s">
        <v>465</v>
      </c>
      <c r="F95" s="202" t="s">
        <v>466</v>
      </c>
      <c r="G95" s="202" t="s">
        <v>467</v>
      </c>
      <c r="H95" s="202" t="s">
        <v>21</v>
      </c>
      <c r="K95" s="159"/>
      <c r="L95" s="159"/>
      <c r="M95" s="211" t="s">
        <v>473</v>
      </c>
      <c r="N95" s="160" t="s">
        <v>156</v>
      </c>
      <c r="O95" s="160" t="s">
        <v>476</v>
      </c>
      <c r="P95" s="160" t="s">
        <v>477</v>
      </c>
      <c r="Q95" s="160" t="s">
        <v>478</v>
      </c>
      <c r="R95" s="160" t="s">
        <v>479</v>
      </c>
      <c r="S95" s="160" t="s">
        <v>480</v>
      </c>
      <c r="T95" s="160" t="s">
        <v>481</v>
      </c>
      <c r="U95" s="160" t="s">
        <v>449</v>
      </c>
      <c r="V95" s="160" t="s">
        <v>157</v>
      </c>
      <c r="W95" s="160" t="s">
        <v>474</v>
      </c>
      <c r="X95" s="160" t="s">
        <v>475</v>
      </c>
      <c r="Y95" s="160" t="s">
        <v>46</v>
      </c>
      <c r="Z95" s="212" t="s">
        <v>11</v>
      </c>
      <c r="AA95" s="211" t="s">
        <v>473</v>
      </c>
      <c r="AB95" s="160" t="s">
        <v>156</v>
      </c>
      <c r="AC95" s="160" t="s">
        <v>476</v>
      </c>
      <c r="AD95" s="160" t="s">
        <v>477</v>
      </c>
      <c r="AE95" s="160" t="s">
        <v>478</v>
      </c>
      <c r="AF95" s="160" t="s">
        <v>479</v>
      </c>
      <c r="AG95" s="160" t="s">
        <v>480</v>
      </c>
      <c r="AH95" s="160" t="s">
        <v>481</v>
      </c>
      <c r="AI95" s="160" t="s">
        <v>449</v>
      </c>
      <c r="AJ95" s="160" t="s">
        <v>157</v>
      </c>
      <c r="AK95" s="160" t="s">
        <v>474</v>
      </c>
      <c r="AL95" s="160" t="s">
        <v>475</v>
      </c>
      <c r="AM95" s="160" t="s">
        <v>46</v>
      </c>
      <c r="AN95" s="212" t="s">
        <v>11</v>
      </c>
      <c r="AO95" s="211" t="s">
        <v>473</v>
      </c>
      <c r="AP95" s="160" t="s">
        <v>156</v>
      </c>
      <c r="AQ95" s="160" t="s">
        <v>476</v>
      </c>
      <c r="AR95" s="160" t="s">
        <v>477</v>
      </c>
      <c r="AS95" s="160" t="s">
        <v>478</v>
      </c>
      <c r="AT95" s="160" t="s">
        <v>479</v>
      </c>
      <c r="AU95" s="160" t="s">
        <v>480</v>
      </c>
      <c r="AV95" s="160" t="s">
        <v>481</v>
      </c>
      <c r="AW95" s="160" t="s">
        <v>449</v>
      </c>
      <c r="AX95" s="160" t="s">
        <v>157</v>
      </c>
      <c r="AY95" s="160" t="s">
        <v>474</v>
      </c>
      <c r="AZ95" s="160" t="s">
        <v>475</v>
      </c>
      <c r="BA95" s="160" t="s">
        <v>46</v>
      </c>
      <c r="BB95" s="212" t="s">
        <v>11</v>
      </c>
      <c r="BC95" s="211" t="s">
        <v>473</v>
      </c>
      <c r="BD95" s="160" t="s">
        <v>156</v>
      </c>
      <c r="BE95" s="160" t="s">
        <v>476</v>
      </c>
      <c r="BF95" s="160" t="s">
        <v>477</v>
      </c>
      <c r="BG95" s="160" t="s">
        <v>478</v>
      </c>
      <c r="BH95" s="160" t="s">
        <v>479</v>
      </c>
      <c r="BI95" s="160" t="s">
        <v>480</v>
      </c>
      <c r="BJ95" s="160" t="s">
        <v>481</v>
      </c>
      <c r="BK95" s="160" t="s">
        <v>449</v>
      </c>
      <c r="BL95" s="160" t="s">
        <v>157</v>
      </c>
      <c r="BM95" s="160" t="s">
        <v>474</v>
      </c>
      <c r="BN95" s="160" t="s">
        <v>475</v>
      </c>
      <c r="BO95" s="160" t="s">
        <v>46</v>
      </c>
      <c r="BP95" s="212" t="s">
        <v>11</v>
      </c>
      <c r="BQ95" s="211" t="s">
        <v>473</v>
      </c>
      <c r="BR95" s="160" t="s">
        <v>156</v>
      </c>
      <c r="BS95" s="160" t="s">
        <v>476</v>
      </c>
      <c r="BT95" s="160" t="s">
        <v>477</v>
      </c>
      <c r="BU95" s="160" t="s">
        <v>478</v>
      </c>
      <c r="BV95" s="160" t="s">
        <v>479</v>
      </c>
      <c r="BW95" s="160" t="s">
        <v>480</v>
      </c>
      <c r="BX95" s="160" t="s">
        <v>481</v>
      </c>
      <c r="BY95" s="160" t="s">
        <v>449</v>
      </c>
      <c r="BZ95" s="160" t="s">
        <v>157</v>
      </c>
      <c r="CA95" s="160" t="s">
        <v>474</v>
      </c>
      <c r="CB95" s="160" t="s">
        <v>475</v>
      </c>
      <c r="CC95" s="160" t="s">
        <v>46</v>
      </c>
      <c r="CD95" s="212" t="s">
        <v>11</v>
      </c>
      <c r="CE95" s="211" t="s">
        <v>473</v>
      </c>
      <c r="CF95" s="160" t="s">
        <v>156</v>
      </c>
      <c r="CG95" s="160" t="s">
        <v>476</v>
      </c>
      <c r="CH95" s="160" t="s">
        <v>477</v>
      </c>
      <c r="CI95" s="160" t="s">
        <v>478</v>
      </c>
      <c r="CJ95" s="160" t="s">
        <v>479</v>
      </c>
      <c r="CK95" s="160" t="s">
        <v>480</v>
      </c>
      <c r="CL95" s="160" t="s">
        <v>481</v>
      </c>
      <c r="CM95" s="160" t="s">
        <v>449</v>
      </c>
      <c r="CN95" s="160" t="s">
        <v>157</v>
      </c>
      <c r="CO95" s="160" t="s">
        <v>474</v>
      </c>
      <c r="CP95" s="160" t="s">
        <v>475</v>
      </c>
      <c r="CQ95" s="160" t="s">
        <v>46</v>
      </c>
      <c r="CR95" s="212" t="s">
        <v>11</v>
      </c>
      <c r="CV95" s="263"/>
      <c r="CW95" s="263"/>
      <c r="CX95" s="264" t="s">
        <v>156</v>
      </c>
      <c r="CY95" s="264" t="s">
        <v>479</v>
      </c>
      <c r="CZ95" s="264" t="s">
        <v>480</v>
      </c>
      <c r="DA95" s="264" t="s">
        <v>157</v>
      </c>
      <c r="DB95" s="264" t="s">
        <v>156</v>
      </c>
      <c r="DC95" s="264" t="s">
        <v>479</v>
      </c>
      <c r="DD95" s="264" t="s">
        <v>480</v>
      </c>
      <c r="DE95" s="264" t="s">
        <v>157</v>
      </c>
      <c r="DF95" s="264" t="s">
        <v>156</v>
      </c>
      <c r="DG95" s="264" t="s">
        <v>479</v>
      </c>
      <c r="DH95" s="264" t="s">
        <v>480</v>
      </c>
      <c r="DI95" s="264" t="s">
        <v>157</v>
      </c>
      <c r="DJ95" s="264" t="s">
        <v>156</v>
      </c>
      <c r="DK95" s="264" t="s">
        <v>479</v>
      </c>
      <c r="DL95" s="264" t="s">
        <v>480</v>
      </c>
      <c r="DM95" s="264" t="s">
        <v>157</v>
      </c>
      <c r="DN95" s="264" t="s">
        <v>156</v>
      </c>
      <c r="DO95" s="264" t="s">
        <v>479</v>
      </c>
      <c r="DP95" s="264" t="s">
        <v>480</v>
      </c>
      <c r="DQ95" s="264" t="s">
        <v>157</v>
      </c>
      <c r="DR95" s="264" t="s">
        <v>156</v>
      </c>
      <c r="DS95" s="264" t="s">
        <v>479</v>
      </c>
      <c r="DT95" s="264" t="s">
        <v>480</v>
      </c>
      <c r="DU95" s="264" t="s">
        <v>157</v>
      </c>
      <c r="DW95" s="278"/>
      <c r="DX95" s="278"/>
      <c r="DY95" s="280" t="s">
        <v>587</v>
      </c>
      <c r="DZ95" s="280" t="s">
        <v>588</v>
      </c>
      <c r="EC95" s="412" t="s">
        <v>12</v>
      </c>
      <c r="ED95" s="412" t="s">
        <v>568</v>
      </c>
      <c r="EE95" s="412">
        <v>11477.778199999999</v>
      </c>
      <c r="EF95" s="412">
        <v>1</v>
      </c>
      <c r="EG95" s="413">
        <v>859001</v>
      </c>
      <c r="EH95" s="414">
        <f>VLOOKUP($EM95,$DX$95:$DZ$104,2,FALSE)*EF95*$AY$11*(1-$BD$7)</f>
        <v>43.820290989139139</v>
      </c>
      <c r="EI95" s="415">
        <f>VLOOKUP($EM95,$DX$95:$DZ$104,3,FALSE)*EF95*$AY$11*(1-$BD$7)</f>
        <v>0.17429415305363463</v>
      </c>
      <c r="EJ95" s="402">
        <v>0</v>
      </c>
      <c r="EM95" s="278" t="s">
        <v>12</v>
      </c>
      <c r="EN95" s="278" t="s">
        <v>568</v>
      </c>
      <c r="EO95" s="278">
        <v>11477.778199999999</v>
      </c>
      <c r="EP95" s="278">
        <v>1</v>
      </c>
      <c r="EQ95" s="289">
        <v>859001</v>
      </c>
      <c r="ER95" s="290">
        <f t="shared" ref="ER95:ER139" si="34">EH95*$EA$39</f>
        <v>43.820290989139139</v>
      </c>
      <c r="ES95" s="291">
        <f t="shared" ref="ES95:ES139" si="35">EI95*$EA$39</f>
        <v>0.17429415305363463</v>
      </c>
      <c r="ET95" s="402">
        <v>0</v>
      </c>
      <c r="EV95" s="34"/>
      <c r="EW95" s="34"/>
      <c r="EX95" s="34"/>
      <c r="EY95" s="34"/>
      <c r="EZ95" s="378"/>
      <c r="FA95" s="401"/>
      <c r="FB95" s="402"/>
      <c r="FC95" s="402"/>
    </row>
    <row r="96" spans="1:159">
      <c r="A96" s="205"/>
      <c r="B96" s="205" t="s">
        <v>12</v>
      </c>
      <c r="C96" s="400">
        <f>'A.일산테크노밸리(859991)_수정'!$P28*KTDB_TripDistribution_2025!T$12</f>
        <v>19.640685461580965</v>
      </c>
      <c r="D96" s="400">
        <f>'A.일산테크노밸리(859991)_수정'!$P28*KTDB_TripDistribution_2025!U$12</f>
        <v>142.14365881032552</v>
      </c>
      <c r="E96" s="400">
        <f>'A.일산테크노밸리(859991)_수정'!$P28*KTDB_TripDistribution_2025!V$12</f>
        <v>8.1544298708477658</v>
      </c>
      <c r="F96" s="400">
        <f>'A.일산테크노밸리(859991)_수정'!$P28*KTDB_TripDistribution_2025!W$12</f>
        <v>1.2814714307251571E-2</v>
      </c>
      <c r="G96" s="400">
        <f>'A.일산테크노밸리(859991)_수정'!$P28*KTDB_TripDistribution_2025!X$12</f>
        <v>4.8411142938506117E-2</v>
      </c>
      <c r="H96" s="400">
        <f>'A.일산테크노밸리(859991)_수정'!$P28*KTDB_TripDistribution_2025!Y$12</f>
        <v>170.00000000000003</v>
      </c>
      <c r="J96" s="230">
        <f>CR96</f>
        <v>170</v>
      </c>
      <c r="K96" s="206"/>
      <c r="L96" s="209" t="s">
        <v>12</v>
      </c>
      <c r="M96" s="213">
        <f>INDEX($A$95:$H$107,MATCH($L96,$B$95:$B$107,0),MATCH($M$94,$A$95:$H$95,0))*고양시_Modal_split!C$3 * 0.01</f>
        <v>5.4993919292426696E-2</v>
      </c>
      <c r="N96" s="213">
        <f>INDEX($A$95:$H$107,MATCH($L96,$B$95:$B$107,0),MATCH($M$94,$A$95:$H$95,0))*고양시_Modal_split!D$3 * 0.01</f>
        <v>9.2370143725815286</v>
      </c>
      <c r="O96" s="213">
        <f>INDEX($A$95:$H$107,MATCH($L96,$B$95:$B$107,0),MATCH($M$94,$A$95:$H$95,0))*고양시_Modal_split!E$3 * 0.01</f>
        <v>1.1175550027639569</v>
      </c>
      <c r="P96" s="213">
        <f>INDEX($A$95:$H$107,MATCH($L96,$B$95:$B$107,0),MATCH($M$94,$A$95:$H$95,0))*고양시_Modal_split!F$3 * 0.01</f>
        <v>1.8010508568269745</v>
      </c>
      <c r="Q96" s="213">
        <f>INDEX($A$95:$H$107,MATCH($L96,$B$95:$B$107,0),MATCH($M$94,$A$95:$H$95,0))*고양시_Modal_split!G$3 * 0.01</f>
        <v>0.18069430624654487</v>
      </c>
      <c r="R96" s="213">
        <f>INDEX($A$95:$H$107,MATCH($L96,$B$95:$B$107,0),MATCH($M$94,$A$95:$H$95,0))*고양시_Modal_split!H$3 * 0.01</f>
        <v>1.9640685461580964E-3</v>
      </c>
      <c r="S96" s="213">
        <f>INDEX($A$95:$H$107,MATCH($L96,$B$95:$B$107,0),MATCH($M$94,$A$95:$H$95,0))*고양시_Modal_split!I$3 * 0.01</f>
        <v>0.54601105583195075</v>
      </c>
      <c r="T96" s="213">
        <f>INDEX($A$95:$H$107,MATCH($L96,$B$95:$B$107,0),MATCH($M$94,$A$95:$H$95,0))*고양시_Modal_split!J$3 * 0.01</f>
        <v>5.9786246545052464</v>
      </c>
      <c r="U96" s="213">
        <f>INDEX($A$95:$H$107,MATCH($L96,$B$95:$B$107,0),MATCH($M$94,$A$95:$H$95,0))*고양시_Modal_split!K$3 * 0.01</f>
        <v>2.9461028192371445E-2</v>
      </c>
      <c r="V96" s="213">
        <f>INDEX($A$95:$H$107,MATCH($L96,$B$95:$B$107,0),MATCH($M$94,$A$95:$H$95,0))*고양시_Modal_split!L$3 * 0.01</f>
        <v>0.59314870093974514</v>
      </c>
      <c r="W96" s="213">
        <f>INDEX($A$95:$H$107,MATCH($L96,$B$95:$B$107,0),MATCH($M$94,$A$95:$H$95,0))*고양시_Modal_split!M$3 * 0.01</f>
        <v>4.5173576561636217E-2</v>
      </c>
      <c r="X96" s="213">
        <f>INDEX($A$95:$H$107,MATCH($L96,$B$95:$B$107,0),MATCH($M$94,$A$95:$H$95,0))*고양시_Modal_split!N$3 * 0.01</f>
        <v>1.9640685461580966E-2</v>
      </c>
      <c r="Y96" s="213">
        <f>INDEX($A$95:$H$107,MATCH($L96,$B$95:$B$107,0),MATCH($M$94,$A$95:$H$95,0))*고양시_Modal_split!O$3 * 0.01</f>
        <v>3.5353233830845737E-2</v>
      </c>
      <c r="Z96" s="213">
        <f>INDEX($A$95:$H$107,MATCH($L96,$B$95:$B$107,0),MATCH($M$94,$A$95:$H$95,0))*고양시_Modal_split!P$3 * 0.01</f>
        <v>19.640685461580965</v>
      </c>
      <c r="AA96" s="213">
        <f>INDEX($A$95:$H$107,MATCH($L96,$B$95:$B$107,0),MATCH($AA$94,$A$95:$H$95,0))*고양시_Modal_split!C$4 * 0.01</f>
        <v>43.268529741863084</v>
      </c>
      <c r="AB96" s="213">
        <f>INDEX($A$95:$H$107,MATCH($L96,$B$95:$B$107,0),MATCH($AA$94,$A$95:$H$95,0))*고양시_Modal_split!D$4 * 0.01</f>
        <v>45.58547138047139</v>
      </c>
      <c r="AC96" s="213">
        <f>INDEX($A$95:$H$107,MATCH($L96,$B$95:$B$107,0),MATCH($AA$94,$A$95:$H$95,0))*고양시_Modal_split!E$4 * 0.01</f>
        <v>11.044562289562293</v>
      </c>
      <c r="AD96" s="213">
        <f>INDEX($A$95:$H$107,MATCH($L96,$B$95:$B$107,0),MATCH($AA$94,$A$95:$H$95,0))*고양시_Modal_split!F$4 * 0.01</f>
        <v>1.3503647586980925</v>
      </c>
      <c r="AE96" s="213">
        <f>INDEX($A$95:$H$107,MATCH($L96,$B$95:$B$107,0),MATCH($AA$94,$A$95:$H$95,0))*고양시_Modal_split!G$4 * 0.01</f>
        <v>16.645022446689119</v>
      </c>
      <c r="AF96" s="213">
        <f>INDEX($A$95:$H$107,MATCH($L96,$B$95:$B$107,0),MATCH($AA$94,$A$95:$H$95,0))*고양시_Modal_split!H$4 * 0.01</f>
        <v>0</v>
      </c>
      <c r="AG96" s="213">
        <f>INDEX($A$95:$H$107,MATCH($L96,$B$95:$B$107,0),MATCH($AA$94,$A$95:$H$95,0))*고양시_Modal_split!I$4 * 0.01</f>
        <v>4.9465993265993271</v>
      </c>
      <c r="AH96" s="213">
        <f>INDEX($A$95:$H$107,MATCH($L96,$B$95:$B$107,0),MATCH($AA$94,$A$95:$H$95,0))*고양시_Modal_split!J$4 * 0.01</f>
        <v>6.6949663299663316</v>
      </c>
      <c r="AI96" s="213">
        <f>INDEX($A$95:$H$107,MATCH($L96,$B$95:$B$107,0),MATCH($AA$94,$A$95:$H$95,0))*고양시_Modal_split!K$4 * 0.01</f>
        <v>0</v>
      </c>
      <c r="AJ96" s="213">
        <f>INDEX($A$95:$H$107,MATCH($L96,$B$95:$B$107,0),MATCH($AA$94,$A$95:$H$95,0))*고양시_Modal_split!L$4 * 0.01</f>
        <v>6.5670370370370392</v>
      </c>
      <c r="AK96" s="213">
        <f>INDEX($A$95:$H$107,MATCH($L96,$B$95:$B$107,0),MATCH($AA$94,$A$95:$H$95,0))*고양시_Modal_split!M$4 * 0.01</f>
        <v>0.95236251402918104</v>
      </c>
      <c r="AL96" s="213">
        <f>INDEX($A$95:$H$107,MATCH($L96,$B$95:$B$107,0),MATCH($AA$94,$A$95:$H$95,0))*고양시_Modal_split!N$4 * 0.01</f>
        <v>3.5535914702581382</v>
      </c>
      <c r="AM96" s="213">
        <f>INDEX($A$95:$H$107,MATCH($L96,$B$95:$B$107,0),MATCH($AA$94,$A$95:$H$95,0))*고양시_Modal_split!O$4 * 0.01</f>
        <v>1.5351515151515156</v>
      </c>
      <c r="AN96" s="213">
        <f>INDEX($A$95:$H$107,MATCH($L96,$B$95:$B$107,0),MATCH($AA$94,$A$95:$H$95,0))*고양시_Modal_split!P$4 * 0.01</f>
        <v>142.14365881032552</v>
      </c>
      <c r="AO96" s="213">
        <f>INDEX($A$95:$H$107,MATCH($L96,$B$95:$B$107,0),MATCH($AO$94,$A$95:$H$95,0))*고양시_Modal_split!C$5 * 0.01</f>
        <v>4.8926579225086596E-3</v>
      </c>
      <c r="AP96" s="213">
        <f>INDEX($A$95:$H$107,MATCH($L96,$B$95:$B$107,0),MATCH($AO$94,$A$95:$H$95,0))*고양시_Modal_split!D$5 * 0.01</f>
        <v>5.9755662093572424</v>
      </c>
      <c r="AQ96" s="213">
        <f>INDEX($A$95:$H$107,MATCH($L96,$B$95:$B$107,0),MATCH($AO$94,$A$95:$H$95,0))*고양시_Modal_split!E$5 * 0.01</f>
        <v>0.80321134227850499</v>
      </c>
      <c r="AR96" s="213">
        <f>INDEX($A$95:$H$107,MATCH($L96,$B$95:$B$107,0),MATCH($AO$94,$A$95:$H$95,0))*고양시_Modal_split!F$5 * 0.01</f>
        <v>0.17124302728780308</v>
      </c>
      <c r="AS96" s="213">
        <f>INDEX($A$95:$H$107,MATCH($L96,$B$95:$B$107,0),MATCH($AO$94,$A$95:$H$95,0))*고양시_Modal_split!G$5 * 0.01</f>
        <v>5.3003794160510487E-2</v>
      </c>
      <c r="AT96" s="213">
        <f>INDEX($A$95:$H$107,MATCH($L96,$B$95:$B$107,0),MATCH($AO$94,$A$95:$H$95,0))*고양시_Modal_split!H$5 * 0.01</f>
        <v>5.7081009095934351E-3</v>
      </c>
      <c r="AU96" s="213">
        <f>INDEX($A$95:$H$107,MATCH($L96,$B$95:$B$107,0),MATCH($AO$94,$A$95:$H$95,0))*고양시_Modal_split!I$5 * 0.01</f>
        <v>0.22587770742248311</v>
      </c>
      <c r="AV96" s="213">
        <f>INDEX($A$95:$H$107,MATCH($L96,$B$95:$B$107,0),MATCH($AO$94,$A$95:$H$95,0))*고양시_Modal_split!J$5 * 0.01</f>
        <v>0.51128275290215497</v>
      </c>
      <c r="AW96" s="213">
        <f>INDEX($A$95:$H$107,MATCH($L96,$B$95:$B$107,0),MATCH($AO$94,$A$95:$H$95,0))*고양시_Modal_split!K$5 * 0.01</f>
        <v>1.6308859741695533E-3</v>
      </c>
      <c r="AX96" s="213">
        <f>INDEX($A$95:$H$107,MATCH($L96,$B$95:$B$107,0),MATCH($AO$94,$A$95:$H$95,0))*고양시_Modal_split!L$5 * 0.01</f>
        <v>0.20793796170661799</v>
      </c>
      <c r="AY96" s="213">
        <f>INDEX($A$95:$H$107,MATCH($L96,$B$95:$B$107,0),MATCH($AO$94,$A$95:$H$95,0))*고양시_Modal_split!M$5 * 0.01</f>
        <v>5.4634680134680036E-2</v>
      </c>
      <c r="AZ96" s="213">
        <f>INDEX($A$95:$H$107,MATCH($L96,$B$95:$B$107,0),MATCH($AO$94,$A$95:$H$95,0))*고양시_Modal_split!N$5 * 0.01</f>
        <v>1.3862530780441201E-2</v>
      </c>
      <c r="BA96" s="213">
        <f>INDEX($A$95:$H$107,MATCH($L96,$B$95:$B$107,0),MATCH($AO$94,$A$95:$H$95,0))*고양시_Modal_split!O$5 * 0.01</f>
        <v>0.12557822001105559</v>
      </c>
      <c r="BB96" s="213">
        <f>INDEX($A$95:$H$107,MATCH($L96,$B$95:$B$107,0),MATCH($AO$94,$A$95:$H$95,0))*고양시_Modal_split!P$5 * 0.01</f>
        <v>8.1544298708477658</v>
      </c>
      <c r="BC96" s="213">
        <f>INDEX($A$95:$H$107,MATCH($L96,$B$95:$B$107,0),MATCH($BC$94,$A$95:$H$95,0))*고양시_Modal_split!C$6 * 0.01</f>
        <v>0</v>
      </c>
      <c r="BD96" s="207">
        <f>INDEX($A$95:$H$107,MATCH($L96,$B$95:$B$107,0),MATCH($BC$94,$A$95:$H$95,0))*고양시_Modal_split!D$6 * 0.01</f>
        <v>1.0611864917835025E-2</v>
      </c>
      <c r="BE96" s="207">
        <f>INDEX($A$95:$H$107,MATCH($L96,$B$95:$B$107,0),MATCH($BC$94,$A$95:$H$95,0))*고양시_Modal_split!E$6 * 0.01</f>
        <v>5.5103271521181756E-5</v>
      </c>
      <c r="BF96" s="207">
        <f>INDEX($A$95:$H$107,MATCH($L96,$B$95:$B$107,0),MATCH($BC$94,$A$95:$H$95,0))*고양시_Modal_split!F$6 * 0.01</f>
        <v>1.5633951454846918E-4</v>
      </c>
      <c r="BG96" s="207">
        <f>INDEX($A$95:$H$107,MATCH($L96,$B$95:$B$107,0),MATCH($BC$94,$A$95:$H$95,0))*고양시_Modal_split!G$6 * 0.01</f>
        <v>0</v>
      </c>
      <c r="BH96" s="207">
        <f>INDEX($A$95:$H$107,MATCH($L96,$B$95:$B$107,0),MATCH($BC$94,$A$95:$H$95,0))*고양시_Modal_split!H$6 * 0.01</f>
        <v>6.8046132971505847E-4</v>
      </c>
      <c r="BI96" s="207">
        <f>INDEX($A$95:$H$107,MATCH($L96,$B$95:$B$107,0),MATCH($BC$94,$A$95:$H$95,0))*고양시_Modal_split!I$6 * 0.01</f>
        <v>4.5364088647670563E-4</v>
      </c>
      <c r="BJ96" s="207">
        <f>INDEX($A$95:$H$107,MATCH($L96,$B$95:$B$107,0),MATCH($BC$94,$A$95:$H$95,0))*고양시_Modal_split!J$6 * 0.01</f>
        <v>6.3304688677822752E-4</v>
      </c>
      <c r="BK96" s="207">
        <f>INDEX($A$95:$H$107,MATCH($L96,$B$95:$B$107,0),MATCH($BC$94,$A$95:$H$95,0))*고양시_Modal_split!K$6 * 0.01</f>
        <v>0</v>
      </c>
      <c r="BL96" s="207">
        <f>INDEX($A$95:$H$107,MATCH($L96,$B$95:$B$107,0),MATCH($BC$94,$A$95:$H$95,0))*고양시_Modal_split!L$6 * 0.01</f>
        <v>9.7391828735111951E-5</v>
      </c>
      <c r="BM96" s="207">
        <f>INDEX($A$95:$H$107,MATCH($L96,$B$95:$B$107,0),MATCH($BC$94,$A$95:$H$95,0))*고양시_Modal_split!M$6 * 0.01</f>
        <v>1.1661390019598931E-4</v>
      </c>
      <c r="BN96" s="207">
        <f>INDEX($A$95:$H$107,MATCH($L96,$B$95:$B$107,0),MATCH($BC$94,$A$95:$H$95,0))*고양시_Modal_split!N$6 * 0.01</f>
        <v>0</v>
      </c>
      <c r="BO96" s="207">
        <f>INDEX($A$95:$H$107,MATCH($L96,$B$95:$B$107,0),MATCH($BC$94,$A$95:$H$95,0))*고양시_Modal_split!O$6 * 0.01</f>
        <v>1.0251771445801256E-5</v>
      </c>
      <c r="BP96" s="214">
        <f>INDEX($A$95:$H$107,MATCH($L96,$B$95:$B$107,0),MATCH($BC$94,$A$95:$H$95,0))*고양시_Modal_split!P$6 * 0.01</f>
        <v>1.2814714307251571E-2</v>
      </c>
      <c r="BQ96" s="213">
        <f>INDEX($A$95:$H$107,MATCH($L96,$B$95:$B$107,0),MATCH($BQ$94,$A$95:$H$95,0))*고양시_Modal_split!C$7 * 0.01</f>
        <v>0</v>
      </c>
      <c r="BR96" s="213">
        <f>INDEX($A$95:$H$107,MATCH($L96,$B$95:$B$107,0),MATCH($BQ$94,$A$95:$H$95,0))*고양시_Modal_split!D$7 * 0.01</f>
        <v>2.9666348392716549E-2</v>
      </c>
      <c r="BS96" s="213">
        <f>INDEX($A$95:$H$107,MATCH($L96,$B$95:$B$107,0),MATCH($BQ$94,$A$95:$H$95,0))*고양시_Modal_split!E$7 * 0.01</f>
        <v>1.4474931738613329E-3</v>
      </c>
      <c r="BT96" s="213">
        <f>INDEX($A$95:$H$107,MATCH($L96,$B$95:$B$107,0),MATCH($BQ$94,$A$95:$H$95,0))*고양시_Modal_split!F$7 * 0.01</f>
        <v>4.8411142938506116E-4</v>
      </c>
      <c r="BU96" s="213">
        <f>INDEX($A$95:$H$107,MATCH($L96,$B$95:$B$107,0),MATCH($BQ$94,$A$95:$H$95,0))*고양시_Modal_split!G$7 * 0.01</f>
        <v>2.0332680034172571E-4</v>
      </c>
      <c r="BV96" s="213">
        <f>INDEX($A$95:$H$107,MATCH($L96,$B$95:$B$107,0),MATCH($BQ$94,$A$95:$H$95,0))*고양시_Modal_split!H$7 * 0.01</f>
        <v>2.7061828902624919E-3</v>
      </c>
      <c r="BW96" s="213">
        <f>INDEX($A$95:$H$107,MATCH($L96,$B$95:$B$107,0),MATCH($BQ$94,$A$95:$H$95,0))*고양시_Modal_split!I$7 * 0.01</f>
        <v>9.0383603866190931E-3</v>
      </c>
      <c r="BX96" s="213">
        <f>INDEX($A$95:$H$107,MATCH($L96,$B$95:$B$107,0),MATCH($BQ$94,$A$95:$H$95,0))*고양시_Modal_split!J$7 * 0.01</f>
        <v>9.6822285877012237E-6</v>
      </c>
      <c r="BY96" s="213">
        <f>INDEX($A$95:$H$107,MATCH($L96,$B$95:$B$107,0),MATCH($BQ$94,$A$95:$H$95,0))*고양시_Modal_split!K$7 * 0.01</f>
        <v>3.7276580062649712E-3</v>
      </c>
      <c r="BZ96" s="213">
        <f>INDEX($A$95:$H$107,MATCH($L96,$B$95:$B$107,0),MATCH($BQ$94,$A$95:$H$95,0))*고양시_Modal_split!L$7 * 0.01</f>
        <v>3.3887800056954276E-5</v>
      </c>
      <c r="CA96" s="213">
        <f>INDEX($A$95:$H$107,MATCH($L96,$B$95:$B$107,0),MATCH($BQ$94,$A$95:$H$95,0))*고양시_Modal_split!M$7 * 0.01</f>
        <v>9.0528837295006457E-4</v>
      </c>
      <c r="CB96" s="213">
        <f>INDEX($A$95:$H$107,MATCH($L96,$B$95:$B$107,0),MATCH($BQ$94,$A$95:$H$95,0))*고양시_Modal_split!N$7 * 0.01</f>
        <v>1.8880345746017383E-4</v>
      </c>
      <c r="CC96" s="213">
        <f>INDEX($A$95:$H$107,MATCH($L96,$B$95:$B$107,0),MATCH($BQ$94,$A$95:$H$95,0))*고양시_Modal_split!O$7 * 0.01</f>
        <v>0</v>
      </c>
      <c r="CD96" s="213">
        <f>INDEX($A$95:$H$107,MATCH($L96,$B$95:$B$107,0),MATCH($BQ$94,$A$95:$H$95,0))*고양시_Modal_split!P$7 * 0.01</f>
        <v>4.8411142938506117E-2</v>
      </c>
      <c r="CE96" s="218">
        <f>M96+AA96+AO96+BC96+BQ96</f>
        <v>43.328416319078023</v>
      </c>
      <c r="CF96" s="208">
        <f t="shared" ref="CF96:CF107" si="36">N96+AB96+AP96+BD96+BR96</f>
        <v>60.838330175720706</v>
      </c>
      <c r="CG96" s="208">
        <f t="shared" ref="CG96:CG107" si="37">O96+AC96+AQ96+BE96+BS96</f>
        <v>12.966831231050138</v>
      </c>
      <c r="CH96" s="208">
        <f t="shared" ref="CH96:CH107" si="38">P96+AD96+AR96+BF96+BT96</f>
        <v>3.3232990937568037</v>
      </c>
      <c r="CI96" s="208">
        <f t="shared" ref="CI96:CI107" si="39">Q96+AE96+AS96+BG96+BU96</f>
        <v>16.878923873896515</v>
      </c>
      <c r="CJ96" s="208">
        <f t="shared" ref="CJ96:CJ107" si="40">R96+AF96+AT96+BH96+BV96</f>
        <v>1.1058813675729083E-2</v>
      </c>
      <c r="CK96" s="208">
        <f t="shared" ref="CK96:CK107" si="41">S96+AG96+AU96+BI96+BW96</f>
        <v>5.7279800911268559</v>
      </c>
      <c r="CL96" s="208">
        <f t="shared" ref="CL96:CL107" si="42">T96+AH96+AV96+BJ96+BX96</f>
        <v>13.185516466489096</v>
      </c>
      <c r="CM96" s="208">
        <f t="shared" ref="CM96:CM107" si="43">U96+AI96+AW96+BK96+BY96</f>
        <v>3.4819572172805971E-2</v>
      </c>
      <c r="CN96" s="208">
        <f t="shared" ref="CN96:CN107" si="44">V96+AJ96+AX96+BL96+BZ96</f>
        <v>7.3682549793121934</v>
      </c>
      <c r="CO96" s="208">
        <f t="shared" ref="CO96:CO107" si="45">W96+AK96+AY96+BM96+CA96</f>
        <v>1.0531926729986434</v>
      </c>
      <c r="CP96" s="208">
        <f t="shared" ref="CP96:CP107" si="46">X96+AL96+AZ96+BN96+CB96</f>
        <v>3.5872834899576209</v>
      </c>
      <c r="CQ96" s="208">
        <f t="shared" ref="CQ96:CQ107" si="47">Y96+AM96+BA96+BO96+CC96</f>
        <v>1.6960932207648627</v>
      </c>
      <c r="CR96" s="219">
        <f t="shared" ref="CR96:CR107" si="48">Z96+AN96+BB96+BP96+CD96</f>
        <v>170</v>
      </c>
      <c r="CS96" s="225">
        <f>H96-CR96</f>
        <v>0</v>
      </c>
      <c r="CV96" s="265"/>
      <c r="CW96" s="266" t="s">
        <v>12</v>
      </c>
      <c r="CX96" s="267">
        <f>INDEX($M$94:$Z$107,MATCH($CW96,$L$94:$L$107,0),MATCH(CX$95,$M$95:$Z$95,0))/INDEX(고양시_재차인원!$D$4:$H$35,MATCH("고양시",고양시_재차인원!$B$4:$B$35,0),MATCH('A.일산테크노밸리(859991)_수정'!$CX$94,고양시_재차인원!$D$4:$H$4,0))</f>
        <v>8.2473342612335063</v>
      </c>
      <c r="CY96" s="267">
        <f>INDEX($M$94:$Z$107,MATCH($CW96,$L$94:$L$107,0),MATCH(CY$95,$M$95:$Z$95,0))/INDEX(고양시_재차인원!$K$4:$O$20,MATCH("경기도",고양시_재차인원!$K$4:$K$20,0),MATCH('A.일산테크노밸리(859991)_수정'!CY$95,고양시_재차인원!$K$4:$O$4,0))</f>
        <v>6.822051219722461E-5</v>
      </c>
      <c r="CZ96" s="267">
        <f>INDEX($M$94:$Z$107,MATCH($CW96,$L$94:$L$107,0),MATCH(CZ$95,$M$95:$Z$95,0))/INDEX(고양시_재차인원!$K$4:$O$20,MATCH("경기도",고양시_재차인원!$K$4:$K$20,0),MATCH('A.일산테크노밸리(859991)_수정'!CZ$95,고양시_재차인원!$K$4:$O$4,0))</f>
        <v>1.8965302390828439E-2</v>
      </c>
      <c r="DA96" s="267">
        <f>INDEX($M$94:$Z$107,MATCH($CW96,$L$94:$L$107,0),MATCH(DA$95,$M$95:$Z$95,0))/INDEX(고양시_재차인원!$K$4:$O$20,MATCH("경기도",고양시_재차인원!$K$4:$K$20,0),MATCH('A.일산테크노밸리(859991)_수정'!DA$95,고양시_재차인원!$K$4:$O$4,0))</f>
        <v>0.39543246729316345</v>
      </c>
      <c r="DB96" s="267">
        <f>INDEX($AA$94:$AN$107,MATCH($CW96,$L$94:$L$107,0),MATCH(DB$95,$AA$95:$AN$95,0))/INDEX(고양시_재차인원!$D$4:$H$35,MATCH("고양시",고양시_재차인원!$B$4:$B$35,0),MATCH('A.일산테크노밸리(859991)_수정'!$DB$94,고양시_재차인원!$D$4:$H$4,0))</f>
        <v>32.33012154643361</v>
      </c>
      <c r="DC96" s="267">
        <f>INDEX($AA$94:$AN$107,MATCH($CW96,$L$94:$L$107,0),MATCH(DC$95,$AA$95:$AN$95,0))/INDEX(고양시_재차인원!$K$4:$O$20,MATCH("경기도",고양시_재차인원!$K$4:$K$20,0),MATCH('A.일산테크노밸리(859991)_수정'!DC$95,고양시_재차인원!$K$4:$O$4,0))</f>
        <v>0</v>
      </c>
      <c r="DD96" s="267">
        <f>INDEX($AA$94:$AN$107,MATCH($CW96,$L$94:$L$107,0),MATCH(DD$95,$AA$95:$AN$95,0))/INDEX(고양시_재차인원!$K$4:$O$20,MATCH("경기도",고양시_재차인원!$K$4:$K$20,0),MATCH('A.일산테크노밸리(859991)_수정'!DD$95,고양시_재차인원!$K$4:$O$4,0))</f>
        <v>0.17181657959705895</v>
      </c>
      <c r="DE96" s="267">
        <f>INDEX($AA$94:$AN$107,MATCH($CW96,$L$94:$L$107,0),MATCH(DE$95,$AA$95:$AN$95,0))/INDEX(고양시_재차인원!$K$4:$O$20,MATCH("경기도",고양시_재차인원!$K$4:$K$20,0),MATCH('A.일산테크노밸리(859991)_수정'!DE$95,고양시_재차인원!$K$4:$O$4,0))</f>
        <v>4.3780246913580259</v>
      </c>
      <c r="DF96" s="267">
        <f>INDEX($AO$94:$BB$107,MATCH($CW96,$L$94:$L$107,0),MATCH(DF$95,$AO$95:$BB$95,0))/INDEX(고양시_재차인원!$D$4:$H$35,MATCH("고양시",고양시_재차인원!$B$4:$B$35,0),MATCH('A.일산테크노밸리(859991)_수정'!$DF$94,고양시_재차인원!$D$4:$H$4,0))</f>
        <v>4.5965893918132634</v>
      </c>
      <c r="DG96" s="267">
        <f>INDEX($AO$94:$BB$107,MATCH($CW96,$L$94:$L$107,0),MATCH(DG$95,$AO$95:$BB$95,0))/INDEX(고양시_재차인원!$K$4:$O$20,MATCH("경기도",고양시_재차인원!$K$4:$K$20,0),MATCH('A.일산테크노밸리(859991)_수정'!DG$95,고양시_재차인원!$K$4:$O$4,0))</f>
        <v>1.982667908854962E-4</v>
      </c>
      <c r="DH96" s="267">
        <f>INDEX($AO$94:$BB$107,MATCH($CW96,$L$94:$L$107,0),MATCH(DH$95,$AO$95:$BB$95,0))/INDEX(고양시_재차인원!$K$4:$O$20,MATCH("경기도",고양시_재차인원!$K$4:$K$20,0),MATCH('A.일산테크노밸리(859991)_수정'!DH$95,고양시_재차인원!$K$4:$O$4,0))</f>
        <v>7.8457001536117784E-3</v>
      </c>
      <c r="DI96" s="267">
        <f>INDEX($AO$94:$BB$107,MATCH($CW96,$L$94:$L$107,0),MATCH(DI$95,$AO$95:$BB$95,0))/INDEX(고양시_재차인원!$K$4:$O$20,MATCH("경기도",고양시_재차인원!$K$4:$K$20,0),MATCH('A.일산테크노밸리(859991)_수정'!DI$95,고양시_재차인원!$K$4:$O$4,0))</f>
        <v>0.13862530780441198</v>
      </c>
      <c r="DJ96" s="268">
        <f>INDEX($BC$94:$BP$107,MATCH($CW96,$L$94:$L$107,0),MATCH(DJ$95,$BC$95:$BP$95,0))/INDEX(고양시_재차인원!$D$4:$H$35,MATCH("고양시",고양시_재차인원!$B$4:$B$35,0),MATCH('A.일산테크노밸리(859991)_수정'!$DJ$94,고양시_재차인원!$D$4:$H$4,0))</f>
        <v>7.8028418513492832E-3</v>
      </c>
      <c r="DK96" s="267">
        <f>INDEX($BC$94:$BP$107,MATCH($CW96,$L$94:$L$107,0),MATCH(DK$95,$BC$95:$BP$95,0))/INDEX(고양시_재차인원!$K$4:$O$20,MATCH("경기도",고양시_재차인원!$K$4:$K$20,0),MATCH('A.일산테크노밸리(859991)_수정'!DK$95,고양시_재차인원!$K$4:$O$4,0))</f>
        <v>2.3635336217959655E-5</v>
      </c>
      <c r="DL96" s="267">
        <f>INDEX($BC$94:$BP$107,MATCH($CW96,$L$94:$L$107,0),MATCH(DL$95,$BC$95:$BP$95,0))/INDEX(고양시_재차인원!$K$4:$O$20,MATCH("경기도",고양시_재차인원!$K$4:$K$20,0),MATCH('A.일산테크노밸리(859991)_수정'!DL$95,고양시_재차인원!$K$4:$O$4,0))</f>
        <v>1.5756890811973102E-5</v>
      </c>
      <c r="DM96" s="267">
        <f>INDEX($BC$94:$BP$107,MATCH($CW96,$L$94:$L$107,0),MATCH(DM$95,$BC$95:$BP$95,0))/INDEX(고양시_재차인원!$K$4:$O$20,MATCH("경기도",고양시_재차인원!$K$4:$K$20,0),MATCH('A.일산테크노밸리(859991)_수정'!DM$95,고양시_재차인원!$K$4:$O$4,0))</f>
        <v>6.4927885823407963E-5</v>
      </c>
      <c r="DN96" s="268">
        <f>INDEX($BQ$94:$CD$107,MATCH($CW96,$L$94:$L$107,0),MATCH(DN$95,$BQ$95:$CD$95,0))/INDEX(고양시_재차인원!$D$4:$H$35,MATCH("고양시",고양시_재차인원!$B$4:$B$35,0),MATCH('A.일산테크노밸리(859991)_수정'!$DN$94,고양시_재차인원!$D$4:$H$4,0))</f>
        <v>2.3544720946600435E-2</v>
      </c>
      <c r="DO96" s="267">
        <f>INDEX($BQ$94:$CD$107,MATCH($CW96,$L$94:$L$107,0),MATCH(DO$95,$BQ$95:$CD$95,0))/INDEX(고양시_재차인원!$K$4:$O$20,MATCH("경기도",고양시_재차인원!$K$4:$K$20,0),MATCH('A.일산테크노밸리(859991)_수정'!DO$95,고양시_재차인원!$K$4:$O$4,0))</f>
        <v>9.3997321648575614E-5</v>
      </c>
      <c r="DP96" s="267">
        <f>INDEX($BQ$94:$CD$107,MATCH($CW96,$L$94:$L$107,0),MATCH(DP$95,$BQ$95:$CD$95,0))/INDEX(고양시_재차인원!$K$4:$O$20,MATCH("경기도",고양시_재차인원!$K$4:$K$20,0),MATCH('A.일산테크노밸리(859991)_수정'!DP$95,고양시_재차인원!$K$4:$O$4,0))</f>
        <v>3.139409651482839E-4</v>
      </c>
      <c r="DQ96" s="267">
        <f>INDEX($BQ$94:$CD$107,MATCH($CW96,$L$94:$L$107,0),MATCH(DQ$95,$BQ$95:$CD$95,0))/INDEX(고양시_재차인원!$K$4:$O$20,MATCH("경기도",고양시_재차인원!$K$4:$K$20,0),MATCH('A.일산테크노밸리(859991)_수정'!DQ$95,고양시_재차인원!$K$4:$O$4,0))</f>
        <v>2.2591866704636185E-5</v>
      </c>
      <c r="DR96" s="269">
        <f>CX96+DB96+DF96+DJ96+DN96</f>
        <v>45.205392762278329</v>
      </c>
      <c r="DS96" s="270">
        <f t="shared" ref="DS96:DS107" si="49">CY96+DC96+DG96+DK96+DO96</f>
        <v>3.8411996094925608E-4</v>
      </c>
      <c r="DT96" s="270">
        <f t="shared" ref="DT96:DT107" si="50">CZ96+DD96+DH96+DL96+DP96</f>
        <v>0.19895727999745944</v>
      </c>
      <c r="DU96" s="270">
        <f t="shared" ref="DU96:DU107" si="51">DA96+DE96+DI96+DM96+DQ96</f>
        <v>4.9121699862081298</v>
      </c>
      <c r="DW96" s="278"/>
      <c r="DX96" s="278" t="s">
        <v>590</v>
      </c>
      <c r="DY96" s="281">
        <f>DR96+DU96</f>
        <v>50.117562748486456</v>
      </c>
      <c r="DZ96" s="281">
        <f>DS96+DT96</f>
        <v>0.19934139995840869</v>
      </c>
      <c r="EC96" s="412" t="s">
        <v>13</v>
      </c>
      <c r="ED96" s="412" t="s">
        <v>569</v>
      </c>
      <c r="EE96" s="412">
        <v>907.24059999999997</v>
      </c>
      <c r="EF96" s="412">
        <v>0.22444210067316503</v>
      </c>
      <c r="EG96" s="413">
        <v>859002</v>
      </c>
      <c r="EH96" s="414">
        <f t="shared" ref="EH96:EH139" si="52">VLOOKUP($EM96,$DX$95:$DZ$104,2,FALSE)*EF96*$AY$11*(1-$BD$7)</f>
        <v>7.9838018018601309</v>
      </c>
      <c r="EI96" s="415">
        <f t="shared" ref="EI96:EI139" si="53">VLOOKUP($EM96,$DX$95:$DZ$104,3,FALSE)*EF96*$AY$11*(1-$BD$7)</f>
        <v>3.1755379569437005E-2</v>
      </c>
      <c r="EJ96" s="402">
        <v>0</v>
      </c>
      <c r="EM96" s="278" t="s">
        <v>13</v>
      </c>
      <c r="EN96" s="278" t="s">
        <v>569</v>
      </c>
      <c r="EO96" s="278">
        <v>907.24059999999997</v>
      </c>
      <c r="EP96" s="278">
        <v>0.22444210067316503</v>
      </c>
      <c r="EQ96" s="289">
        <v>859002</v>
      </c>
      <c r="ER96" s="290">
        <f t="shared" si="34"/>
        <v>7.9838018018601309</v>
      </c>
      <c r="ES96" s="291">
        <f t="shared" si="35"/>
        <v>3.1755379569437005E-2</v>
      </c>
      <c r="ET96" s="402">
        <v>0</v>
      </c>
      <c r="EV96" s="34"/>
      <c r="EW96" s="34"/>
      <c r="EX96" s="34"/>
      <c r="EY96" s="34"/>
      <c r="EZ96" s="378"/>
      <c r="FA96" s="401"/>
      <c r="FB96" s="402"/>
      <c r="FC96" s="402"/>
    </row>
    <row r="97" spans="1:159" ht="25">
      <c r="A97" s="205"/>
      <c r="B97" s="205" t="s">
        <v>13</v>
      </c>
      <c r="C97" s="400">
        <f>'A.일산테크노밸리(859991)_수정'!$P29*KTDB_TripDistribution_2025!T$12</f>
        <v>15.943615257048078</v>
      </c>
      <c r="D97" s="400">
        <f>'A.일산테크노밸리(859991)_수정'!$P29*KTDB_TripDistribution_2025!U$12</f>
        <v>115.38720538720541</v>
      </c>
      <c r="E97" s="400">
        <f>'A.일산테크노밸리(859991)_수정'!$P29*KTDB_TripDistribution_2025!V$12</f>
        <v>6.6194783657470095</v>
      </c>
      <c r="F97" s="400">
        <f>'A.일산테크노밸리(859991)_수정'!$P29*KTDB_TripDistribution_2025!W$12</f>
        <v>1.0402532790592452E-2</v>
      </c>
      <c r="G97" s="400">
        <f>'A.일산테크노밸리(859991)_수정'!$P29*KTDB_TripDistribution_2025!X$12</f>
        <v>3.9298457208904965E-2</v>
      </c>
      <c r="H97" s="400">
        <f>'A.일산테크노밸리(859991)_수정'!$P29*KTDB_TripDistribution_2025!Y$12</f>
        <v>138.00000000000003</v>
      </c>
      <c r="J97" s="230">
        <f t="shared" ref="J97:J107" si="54">CR97</f>
        <v>137.99999999999997</v>
      </c>
      <c r="K97" s="206"/>
      <c r="L97" s="209" t="s">
        <v>13</v>
      </c>
      <c r="M97" s="213">
        <f>INDEX($A$95:$H$107,MATCH($L97,$B$95:$B$107,0),MATCH($M$94,$A$95:$H$95,0))*고양시_Modal_split!C$3 * 0.01</f>
        <v>4.4642122719734612E-2</v>
      </c>
      <c r="N97" s="213">
        <f>INDEX($A$95:$H$107,MATCH($L97,$B$95:$B$107,0),MATCH($M$94,$A$95:$H$95,0))*고양시_Modal_split!D$3 * 0.01</f>
        <v>7.4982822553897108</v>
      </c>
      <c r="O97" s="213">
        <f>INDEX($A$95:$H$107,MATCH($L97,$B$95:$B$107,0),MATCH($M$94,$A$95:$H$95,0))*고양시_Modal_split!E$3 * 0.01</f>
        <v>0.90719170812603556</v>
      </c>
      <c r="P97" s="213">
        <f>INDEX($A$95:$H$107,MATCH($L97,$B$95:$B$107,0),MATCH($M$94,$A$95:$H$95,0))*고양시_Modal_split!F$3 * 0.01</f>
        <v>1.4620295190713088</v>
      </c>
      <c r="Q97" s="213">
        <f>INDEX($A$95:$H$107,MATCH($L97,$B$95:$B$107,0),MATCH($M$94,$A$95:$H$95,0))*고양시_Modal_split!G$3 * 0.01</f>
        <v>0.14668126036484233</v>
      </c>
      <c r="R97" s="213">
        <f>INDEX($A$95:$H$107,MATCH($L97,$B$95:$B$107,0),MATCH($M$94,$A$95:$H$95,0))*고양시_Modal_split!H$3 * 0.01</f>
        <v>1.5943615257048081E-3</v>
      </c>
      <c r="S97" s="213">
        <f>INDEX($A$95:$H$107,MATCH($L97,$B$95:$B$107,0),MATCH($M$94,$A$95:$H$95,0))*고양시_Modal_split!I$3 * 0.01</f>
        <v>0.44323250414593651</v>
      </c>
      <c r="T97" s="213">
        <f>INDEX($A$95:$H$107,MATCH($L97,$B$95:$B$107,0),MATCH($M$94,$A$95:$H$95,0))*고양시_Modal_split!J$3 * 0.01</f>
        <v>4.8532364842454356</v>
      </c>
      <c r="U97" s="213">
        <f>INDEX($A$95:$H$107,MATCH($L97,$B$95:$B$107,0),MATCH($M$94,$A$95:$H$95,0))*고양시_Modal_split!K$3 * 0.01</f>
        <v>2.3915422885572118E-2</v>
      </c>
      <c r="V97" s="213">
        <f>INDEX($A$95:$H$107,MATCH($L97,$B$95:$B$107,0),MATCH($M$94,$A$95:$H$95,0))*고양시_Modal_split!L$3 * 0.01</f>
        <v>0.48149718076285197</v>
      </c>
      <c r="W97" s="213">
        <f>INDEX($A$95:$H$107,MATCH($L97,$B$95:$B$107,0),MATCH($M$94,$A$95:$H$95,0))*고양시_Modal_split!M$3 * 0.01</f>
        <v>3.6670315091210583E-2</v>
      </c>
      <c r="X97" s="213">
        <f>INDEX($A$95:$H$107,MATCH($L97,$B$95:$B$107,0),MATCH($M$94,$A$95:$H$95,0))*고양시_Modal_split!N$3 * 0.01</f>
        <v>1.5943615257048079E-2</v>
      </c>
      <c r="Y97" s="213">
        <f>INDEX($A$95:$H$107,MATCH($L97,$B$95:$B$107,0),MATCH($M$94,$A$95:$H$95,0))*고양시_Modal_split!O$3 * 0.01</f>
        <v>2.869850746268654E-2</v>
      </c>
      <c r="Z97" s="213">
        <f>INDEX($A$95:$H$107,MATCH($L97,$B$95:$B$107,0),MATCH($M$94,$A$95:$H$95,0))*고양시_Modal_split!P$3 * 0.01</f>
        <v>15.943615257048078</v>
      </c>
      <c r="AA97" s="213">
        <f>INDEX($A$95:$H$107,MATCH($L97,$B$95:$B$107,0),MATCH($AA$94,$A$95:$H$95,0))*고양시_Modal_split!C$4 * 0.01</f>
        <v>35.123865319865331</v>
      </c>
      <c r="AB97" s="213">
        <f>INDEX($A$95:$H$107,MATCH($L97,$B$95:$B$107,0),MATCH($AA$94,$A$95:$H$95,0))*고양시_Modal_split!D$4 * 0.01</f>
        <v>37.004676767676777</v>
      </c>
      <c r="AC97" s="213">
        <f>INDEX($A$95:$H$107,MATCH($L97,$B$95:$B$107,0),MATCH($AA$94,$A$95:$H$95,0))*고양시_Modal_split!E$4 * 0.01</f>
        <v>8.965585858585861</v>
      </c>
      <c r="AD97" s="213">
        <f>INDEX($A$95:$H$107,MATCH($L97,$B$95:$B$107,0),MATCH($AA$94,$A$95:$H$95,0))*고양시_Modal_split!F$4 * 0.01</f>
        <v>1.0961784511784514</v>
      </c>
      <c r="AE97" s="213">
        <f>INDEX($A$95:$H$107,MATCH($L97,$B$95:$B$107,0),MATCH($AA$94,$A$95:$H$95,0))*고양시_Modal_split!G$4 * 0.01</f>
        <v>13.511841750841752</v>
      </c>
      <c r="AF97" s="213">
        <f>INDEX($A$95:$H$107,MATCH($L97,$B$95:$B$107,0),MATCH($AA$94,$A$95:$H$95,0))*고양시_Modal_split!H$4 * 0.01</f>
        <v>0</v>
      </c>
      <c r="AG97" s="213">
        <f>INDEX($A$95:$H$107,MATCH($L97,$B$95:$B$107,0),MATCH($AA$94,$A$95:$H$95,0))*고양시_Modal_split!I$4 * 0.01</f>
        <v>4.0154747474747481</v>
      </c>
      <c r="AH97" s="213">
        <f>INDEX($A$95:$H$107,MATCH($L97,$B$95:$B$107,0),MATCH($AA$94,$A$95:$H$95,0))*고양시_Modal_split!J$4 * 0.01</f>
        <v>5.4347373737373745</v>
      </c>
      <c r="AI97" s="213">
        <f>INDEX($A$95:$H$107,MATCH($L97,$B$95:$B$107,0),MATCH($AA$94,$A$95:$H$95,0))*고양시_Modal_split!K$4 * 0.01</f>
        <v>0</v>
      </c>
      <c r="AJ97" s="213">
        <f>INDEX($A$95:$H$107,MATCH($L97,$B$95:$B$107,0),MATCH($AA$94,$A$95:$H$95,0))*고양시_Modal_split!L$4 * 0.01</f>
        <v>5.3308888888888912</v>
      </c>
      <c r="AK97" s="213">
        <f>INDEX($A$95:$H$107,MATCH($L97,$B$95:$B$107,0),MATCH($AA$94,$A$95:$H$95,0))*고양시_Modal_split!M$4 * 0.01</f>
        <v>0.77309427609427628</v>
      </c>
      <c r="AL97" s="213">
        <f>INDEX($A$95:$H$107,MATCH($L97,$B$95:$B$107,0),MATCH($AA$94,$A$95:$H$95,0))*고양시_Modal_split!N$4 * 0.01</f>
        <v>2.884680134680135</v>
      </c>
      <c r="AM97" s="213">
        <f>INDEX($A$95:$H$107,MATCH($L97,$B$95:$B$107,0),MATCH($AA$94,$A$95:$H$95,0))*고양시_Modal_split!O$4 * 0.01</f>
        <v>1.2461818181818185</v>
      </c>
      <c r="AN97" s="213">
        <f>INDEX($A$95:$H$107,MATCH($L97,$B$95:$B$107,0),MATCH($AA$94,$A$95:$H$95,0))*고양시_Modal_split!P$4 * 0.01</f>
        <v>115.38720538720541</v>
      </c>
      <c r="AO97" s="213">
        <f>INDEX($A$95:$H$107,MATCH($L97,$B$95:$B$107,0),MATCH($AO$94,$A$95:$H$95,0))*고양시_Modal_split!C$5 * 0.01</f>
        <v>3.9716870194482059E-3</v>
      </c>
      <c r="AP97" s="213">
        <f>INDEX($A$95:$H$107,MATCH($L97,$B$95:$B$107,0),MATCH($AO$94,$A$95:$H$95,0))*고양시_Modal_split!D$5 * 0.01</f>
        <v>4.850753746419409</v>
      </c>
      <c r="AQ97" s="213">
        <f>INDEX($A$95:$H$107,MATCH($L97,$B$95:$B$107,0),MATCH($AO$94,$A$95:$H$95,0))*고양시_Modal_split!E$5 * 0.01</f>
        <v>0.65201861902608049</v>
      </c>
      <c r="AR97" s="213">
        <f>INDEX($A$95:$H$107,MATCH($L97,$B$95:$B$107,0),MATCH($AO$94,$A$95:$H$95,0))*고양시_Modal_split!F$5 * 0.01</f>
        <v>0.1390090456806872</v>
      </c>
      <c r="AS97" s="213">
        <f>INDEX($A$95:$H$107,MATCH($L97,$B$95:$B$107,0),MATCH($AO$94,$A$95:$H$95,0))*고양시_Modal_split!G$5 * 0.01</f>
        <v>4.3026609377355564E-2</v>
      </c>
      <c r="AT97" s="213">
        <f>INDEX($A$95:$H$107,MATCH($L97,$B$95:$B$107,0),MATCH($AO$94,$A$95:$H$95,0))*고양시_Modal_split!H$5 * 0.01</f>
        <v>4.6336348560229064E-3</v>
      </c>
      <c r="AU97" s="213">
        <f>INDEX($A$95:$H$107,MATCH($L97,$B$95:$B$107,0),MATCH($AO$94,$A$95:$H$95,0))*고양시_Modal_split!I$5 * 0.01</f>
        <v>0.18335955073119217</v>
      </c>
      <c r="AV97" s="213">
        <f>INDEX($A$95:$H$107,MATCH($L97,$B$95:$B$107,0),MATCH($AO$94,$A$95:$H$95,0))*고양시_Modal_split!J$5 * 0.01</f>
        <v>0.41504129353233754</v>
      </c>
      <c r="AW97" s="213">
        <f>INDEX($A$95:$H$107,MATCH($L97,$B$95:$B$107,0),MATCH($AO$94,$A$95:$H$95,0))*고양시_Modal_split!K$5 * 0.01</f>
        <v>1.323895673149402E-3</v>
      </c>
      <c r="AX97" s="213">
        <f>INDEX($A$95:$H$107,MATCH($L97,$B$95:$B$107,0),MATCH($AO$94,$A$95:$H$95,0))*고양시_Modal_split!L$5 * 0.01</f>
        <v>0.16879669832654873</v>
      </c>
      <c r="AY97" s="213">
        <f>INDEX($A$95:$H$107,MATCH($L97,$B$95:$B$107,0),MATCH($AO$94,$A$95:$H$95,0))*고양시_Modal_split!M$5 * 0.01</f>
        <v>4.4350505050504967E-2</v>
      </c>
      <c r="AZ97" s="213">
        <f>INDEX($A$95:$H$107,MATCH($L97,$B$95:$B$107,0),MATCH($AO$94,$A$95:$H$95,0))*고양시_Modal_split!N$5 * 0.01</f>
        <v>1.1253113221769915E-2</v>
      </c>
      <c r="BA97" s="213">
        <f>INDEX($A$95:$H$107,MATCH($L97,$B$95:$B$107,0),MATCH($AO$94,$A$95:$H$95,0))*고양시_Modal_split!O$5 * 0.01</f>
        <v>0.10193996683250395</v>
      </c>
      <c r="BB97" s="213">
        <f>INDEX($A$95:$H$107,MATCH($L97,$B$95:$B$107,0),MATCH($AO$94,$A$95:$H$95,0))*고양시_Modal_split!P$5 * 0.01</f>
        <v>6.6194783657470087</v>
      </c>
      <c r="BC97" s="213">
        <f>INDEX($A$95:$H$107,MATCH($L97,$B$95:$B$107,0),MATCH($BC$94,$A$95:$H$95,0))*고양시_Modal_split!C$6 * 0.01</f>
        <v>0</v>
      </c>
      <c r="BD97" s="207">
        <f>INDEX($A$95:$H$107,MATCH($L97,$B$95:$B$107,0),MATCH($BC$94,$A$95:$H$95,0))*고양시_Modal_split!D$6 * 0.01</f>
        <v>8.6143374038896089E-3</v>
      </c>
      <c r="BE97" s="207">
        <f>INDEX($A$95:$H$107,MATCH($L97,$B$95:$B$107,0),MATCH($BC$94,$A$95:$H$95,0))*고양시_Modal_split!E$6 * 0.01</f>
        <v>4.473089099954754E-5</v>
      </c>
      <c r="BF97" s="207">
        <f>INDEX($A$95:$H$107,MATCH($L97,$B$95:$B$107,0),MATCH($BC$94,$A$95:$H$95,0))*고양시_Modal_split!F$6 * 0.01</f>
        <v>1.269109000452279E-4</v>
      </c>
      <c r="BG97" s="207">
        <f>INDEX($A$95:$H$107,MATCH($L97,$B$95:$B$107,0),MATCH($BC$94,$A$95:$H$95,0))*고양시_Modal_split!G$6 * 0.01</f>
        <v>0</v>
      </c>
      <c r="BH97" s="207">
        <f>INDEX($A$95:$H$107,MATCH($L97,$B$95:$B$107,0),MATCH($BC$94,$A$95:$H$95,0))*고양시_Modal_split!H$6 * 0.01</f>
        <v>5.5237449118045927E-4</v>
      </c>
      <c r="BI97" s="207">
        <f>INDEX($A$95:$H$107,MATCH($L97,$B$95:$B$107,0),MATCH($BC$94,$A$95:$H$95,0))*고양시_Modal_split!I$6 * 0.01</f>
        <v>3.6824966078697279E-4</v>
      </c>
      <c r="BJ97" s="207">
        <f>INDEX($A$95:$H$107,MATCH($L97,$B$95:$B$107,0),MATCH($BC$94,$A$95:$H$95,0))*고양시_Modal_split!J$6 * 0.01</f>
        <v>5.1388511985526705E-4</v>
      </c>
      <c r="BK97" s="207">
        <f>INDEX($A$95:$H$107,MATCH($L97,$B$95:$B$107,0),MATCH($BC$94,$A$95:$H$95,0))*고양시_Modal_split!K$6 * 0.01</f>
        <v>0</v>
      </c>
      <c r="BL97" s="207">
        <f>INDEX($A$95:$H$107,MATCH($L97,$B$95:$B$107,0),MATCH($BC$94,$A$95:$H$95,0))*고양시_Modal_split!L$6 * 0.01</f>
        <v>7.9059249208502646E-5</v>
      </c>
      <c r="BM97" s="207">
        <f>INDEX($A$95:$H$107,MATCH($L97,$B$95:$B$107,0),MATCH($BC$94,$A$95:$H$95,0))*고양시_Modal_split!M$6 * 0.01</f>
        <v>9.4663048394391316E-5</v>
      </c>
      <c r="BN97" s="207">
        <f>INDEX($A$95:$H$107,MATCH($L97,$B$95:$B$107,0),MATCH($BC$94,$A$95:$H$95,0))*고양시_Modal_split!N$6 * 0.01</f>
        <v>0</v>
      </c>
      <c r="BO97" s="207">
        <f>INDEX($A$95:$H$107,MATCH($L97,$B$95:$B$107,0),MATCH($BC$94,$A$95:$H$95,0))*고양시_Modal_split!O$6 * 0.01</f>
        <v>8.3220262324739611E-6</v>
      </c>
      <c r="BP97" s="214">
        <f>INDEX($A$95:$H$107,MATCH($L97,$B$95:$B$107,0),MATCH($BC$94,$A$95:$H$95,0))*고양시_Modal_split!P$6 * 0.01</f>
        <v>1.0402532790592452E-2</v>
      </c>
      <c r="BQ97" s="213">
        <f>INDEX($A$95:$H$107,MATCH($L97,$B$95:$B$107,0),MATCH($BQ$94,$A$95:$H$95,0))*고양시_Modal_split!C$7 * 0.01</f>
        <v>0</v>
      </c>
      <c r="BR97" s="213">
        <f>INDEX($A$95:$H$107,MATCH($L97,$B$95:$B$107,0),MATCH($BQ$94,$A$95:$H$95,0))*고양시_Modal_split!D$7 * 0.01</f>
        <v>2.4082094577616963E-2</v>
      </c>
      <c r="BS97" s="213">
        <f>INDEX($A$95:$H$107,MATCH($L97,$B$95:$B$107,0),MATCH($BQ$94,$A$95:$H$95,0))*고양시_Modal_split!E$7 * 0.01</f>
        <v>1.1750238705462584E-3</v>
      </c>
      <c r="BT97" s="213">
        <f>INDEX($A$95:$H$107,MATCH($L97,$B$95:$B$107,0),MATCH($BQ$94,$A$95:$H$95,0))*고양시_Modal_split!F$7 * 0.01</f>
        <v>3.9298457208904967E-4</v>
      </c>
      <c r="BU97" s="213">
        <f>INDEX($A$95:$H$107,MATCH($L97,$B$95:$B$107,0),MATCH($BQ$94,$A$95:$H$95,0))*고양시_Modal_split!G$7 * 0.01</f>
        <v>1.6505352027740085E-4</v>
      </c>
      <c r="BV97" s="213">
        <f>INDEX($A$95:$H$107,MATCH($L97,$B$95:$B$107,0),MATCH($BQ$94,$A$95:$H$95,0))*고양시_Modal_split!H$7 * 0.01</f>
        <v>2.1967837579777876E-3</v>
      </c>
      <c r="BW97" s="213">
        <f>INDEX($A$95:$H$107,MATCH($L97,$B$95:$B$107,0),MATCH($BQ$94,$A$95:$H$95,0))*고양시_Modal_split!I$7 * 0.01</f>
        <v>7.337021960902558E-3</v>
      </c>
      <c r="BX97" s="213">
        <f>INDEX($A$95:$H$107,MATCH($L97,$B$95:$B$107,0),MATCH($BQ$94,$A$95:$H$95,0))*고양시_Modal_split!J$7 * 0.01</f>
        <v>7.8596914417809933E-6</v>
      </c>
      <c r="BY97" s="213">
        <f>INDEX($A$95:$H$107,MATCH($L97,$B$95:$B$107,0),MATCH($BQ$94,$A$95:$H$95,0))*고양시_Modal_split!K$7 * 0.01</f>
        <v>3.025981205085682E-3</v>
      </c>
      <c r="BZ97" s="213">
        <f>INDEX($A$95:$H$107,MATCH($L97,$B$95:$B$107,0),MATCH($BQ$94,$A$95:$H$95,0))*고양시_Modal_split!L$7 * 0.01</f>
        <v>2.7508920046233472E-5</v>
      </c>
      <c r="CA97" s="213">
        <f>INDEX($A$95:$H$107,MATCH($L97,$B$95:$B$107,0),MATCH($BQ$94,$A$95:$H$95,0))*고양시_Modal_split!M$7 * 0.01</f>
        <v>7.3488114980652293E-4</v>
      </c>
      <c r="CB97" s="213">
        <f>INDEX($A$95:$H$107,MATCH($L97,$B$95:$B$107,0),MATCH($BQ$94,$A$95:$H$95,0))*고양시_Modal_split!N$7 * 0.01</f>
        <v>1.5326398311472935E-4</v>
      </c>
      <c r="CC97" s="213">
        <f>INDEX($A$95:$H$107,MATCH($L97,$B$95:$B$107,0),MATCH($BQ$94,$A$95:$H$95,0))*고양시_Modal_split!O$7 * 0.01</f>
        <v>0</v>
      </c>
      <c r="CD97" s="213">
        <f>INDEX($A$95:$H$107,MATCH($L97,$B$95:$B$107,0),MATCH($BQ$94,$A$95:$H$95,0))*고양시_Modal_split!P$7 * 0.01</f>
        <v>3.9298457208904965E-2</v>
      </c>
      <c r="CE97" s="218">
        <f t="shared" ref="CE97:CE107" si="55">M97+AA97+AO97+BC97+BQ97</f>
        <v>35.172479129604518</v>
      </c>
      <c r="CF97" s="208">
        <f t="shared" si="36"/>
        <v>49.386409201467401</v>
      </c>
      <c r="CG97" s="208">
        <f t="shared" si="37"/>
        <v>10.526015940499523</v>
      </c>
      <c r="CH97" s="208">
        <f t="shared" si="38"/>
        <v>2.6977369114025813</v>
      </c>
      <c r="CI97" s="208">
        <f t="shared" si="39"/>
        <v>13.701714674104226</v>
      </c>
      <c r="CJ97" s="208">
        <f t="shared" si="40"/>
        <v>8.9771546308859626E-3</v>
      </c>
      <c r="CK97" s="208">
        <f t="shared" si="41"/>
        <v>4.6497720739735664</v>
      </c>
      <c r="CL97" s="208">
        <f t="shared" si="42"/>
        <v>10.703536896326442</v>
      </c>
      <c r="CM97" s="208">
        <f t="shared" si="43"/>
        <v>2.8265299763807202E-2</v>
      </c>
      <c r="CN97" s="208">
        <f t="shared" si="44"/>
        <v>5.9812893361475465</v>
      </c>
      <c r="CO97" s="208">
        <f t="shared" si="45"/>
        <v>0.85494464043419272</v>
      </c>
      <c r="CP97" s="208">
        <f t="shared" si="46"/>
        <v>2.9120301271420672</v>
      </c>
      <c r="CQ97" s="208">
        <f t="shared" si="47"/>
        <v>1.3768286145032418</v>
      </c>
      <c r="CR97" s="219">
        <f t="shared" si="48"/>
        <v>137.99999999999997</v>
      </c>
      <c r="CS97" s="225">
        <f t="shared" ref="CS97:CS107" si="56">H97-CR97</f>
        <v>0</v>
      </c>
      <c r="CV97" s="265"/>
      <c r="CW97" s="266" t="s">
        <v>13</v>
      </c>
      <c r="CX97" s="267">
        <f>INDEX($M$94:$Z$107,MATCH($CW97,$L$94:$L$107,0),MATCH(CX$95,$M$95:$Z$95,0))/INDEX(고양시_재차인원!$D$4:$H$35,MATCH("고양시",고양시_재차인원!$B$4:$B$35,0),MATCH('A.일산테크노밸리(859991)_수정'!$CX$94,고양시_재차인원!$D$4:$H$4,0))</f>
        <v>6.6948948708836697</v>
      </c>
      <c r="CY97" s="267">
        <f>INDEX($M$94:$Z$107,MATCH($CW97,$L$94:$L$107,0),MATCH(CY$95,$M$95:$Z$95,0))/INDEX(고양시_재차인원!$K$4:$O$20,MATCH("경기도",고양시_재차인원!$K$4:$K$20,0),MATCH('A.일산테크노밸리(859991)_수정'!CY$95,고양시_재차인원!$K$4:$O$4,0))</f>
        <v>5.537900401892352E-5</v>
      </c>
      <c r="CZ97" s="267">
        <f>INDEX($M$94:$Z$107,MATCH($CW97,$L$94:$L$107,0),MATCH(CZ$95,$M$95:$Z$95,0))/INDEX(고양시_재차인원!$K$4:$O$20,MATCH("경기도",고양시_재차인원!$K$4:$K$20,0),MATCH('A.일산테크노밸리(859991)_수정'!CZ$95,고양시_재차인원!$K$4:$O$4,0))</f>
        <v>1.5395363117260735E-2</v>
      </c>
      <c r="DA97" s="267">
        <f>INDEX($M$94:$Z$107,MATCH($CW97,$L$94:$L$107,0),MATCH(DA$95,$M$95:$Z$95,0))/INDEX(고양시_재차인원!$K$4:$O$20,MATCH("경기도",고양시_재차인원!$K$4:$K$20,0),MATCH('A.일산테크노밸리(859991)_수정'!DA$95,고양시_재차인원!$K$4:$O$4,0))</f>
        <v>0.32099812050856796</v>
      </c>
      <c r="DB97" s="268">
        <f>INDEX($AA$94:$AN$107,MATCH($CW97,$L$94:$L$107,0),MATCH(DB$95,$AA$95:$AN$95,0))/INDEX(고양시_재차인원!$D$4:$H$35,MATCH("고양시",고양시_재차인원!$B$4:$B$35,0),MATCH('A.일산테크노밸리(859991)_수정'!$DB$94,고양시_재차인원!$D$4:$H$4,0))</f>
        <v>26.244451608281405</v>
      </c>
      <c r="DC97" s="267">
        <f>INDEX($AA$94:$AN$107,MATCH($CW97,$L$94:$L$107,0),MATCH(DC$95,$AA$95:$AN$95,0))/INDEX(고양시_재차인원!$K$4:$O$20,MATCH("경기도",고양시_재차인원!$K$4:$K$20,0),MATCH('A.일산테크노밸리(859991)_수정'!DC$95,고양시_재차인원!$K$4:$O$4,0))</f>
        <v>0</v>
      </c>
      <c r="DD97" s="267">
        <f>INDEX($AA$94:$AN$107,MATCH($CW97,$L$94:$L$107,0),MATCH(DD$95,$AA$95:$AN$95,0))/INDEX(고양시_재차인원!$K$4:$O$20,MATCH("경기도",고양시_재차인원!$K$4:$K$20,0),MATCH('A.일산테크노밸리(859991)_수정'!DD$95,고양시_재차인원!$K$4:$O$4,0))</f>
        <v>0.13947463520231845</v>
      </c>
      <c r="DE97" s="267">
        <f>INDEX($AA$94:$AN$107,MATCH($CW97,$L$94:$L$107,0),MATCH(DE$95,$AA$95:$AN$95,0))/INDEX(고양시_재차인원!$K$4:$O$20,MATCH("경기도",고양시_재차인원!$K$4:$K$20,0),MATCH('A.일산테크노밸리(859991)_수정'!DE$95,고양시_재차인원!$K$4:$O$4,0))</f>
        <v>3.5539259259259275</v>
      </c>
      <c r="DF97" s="268">
        <f>INDEX($AO$94:$BB$107,MATCH($CW97,$L$94:$L$107,0),MATCH(DF$95,$AO$95:$BB$95,0))/INDEX(고양시_재차인원!$D$4:$H$35,MATCH("고양시",고양시_재차인원!$B$4:$B$35,0),MATCH('A.일산테크노밸리(859991)_수정'!$DF$94,고양시_재차인원!$D$4:$H$4,0))</f>
        <v>3.7313490357072374</v>
      </c>
      <c r="DG97" s="267">
        <f>INDEX($AO$94:$BB$107,MATCH($CW97,$L$94:$L$107,0),MATCH(DG$95,$AO$95:$BB$95,0))/INDEX(고양시_재차인원!$K$4:$O$20,MATCH("경기도",고양시_재차인원!$K$4:$K$20,0),MATCH('A.일산테크노밸리(859991)_수정'!DG$95,고양시_재차인원!$K$4:$O$4,0))</f>
        <v>1.6094598318940279E-4</v>
      </c>
      <c r="DH97" s="267">
        <f>INDEX($AO$94:$BB$107,MATCH($CW97,$L$94:$L$107,0),MATCH(DH$95,$AO$95:$BB$95,0))/INDEX(고양시_재차인원!$K$4:$O$20,MATCH("경기도",고양시_재차인원!$K$4:$K$20,0),MATCH('A.일산테크노밸리(859991)_수정'!DH$95,고양시_재차인원!$K$4:$O$4,0))</f>
        <v>6.3688624776377968E-3</v>
      </c>
      <c r="DI97" s="267">
        <f>INDEX($AO$94:$BB$107,MATCH($CW97,$L$94:$L$107,0),MATCH(DI$95,$AO$95:$BB$95,0))/INDEX(고양시_재차인원!$K$4:$O$20,MATCH("경기도",고양시_재차인원!$K$4:$K$20,0),MATCH('A.일산테크노밸리(859991)_수정'!DI$95,고양시_재차인원!$K$4:$O$4,0))</f>
        <v>0.11253113221769916</v>
      </c>
      <c r="DJ97" s="268">
        <f>INDEX($BC$94:$BP$107,MATCH($CW97,$L$94:$L$107,0),MATCH(DJ$95,$BC$95:$BP$95,0))/INDEX(고양시_재차인원!$D$4:$H$35,MATCH("고양시",고양시_재차인원!$B$4:$B$35,0),MATCH('A.일산테크노밸리(859991)_수정'!$DJ$94,고양시_재차인원!$D$4:$H$4,0))</f>
        <v>6.3340716205070651E-3</v>
      </c>
      <c r="DK97" s="267">
        <f>INDEX($BC$94:$BP$107,MATCH($CW97,$L$94:$L$107,0),MATCH(DK$95,$BC$95:$BP$95,0))/INDEX(고양시_재차인원!$K$4:$O$20,MATCH("경기도",고양시_재차인원!$K$4:$K$20,0),MATCH('A.일산테크노밸리(859991)_수정'!DK$95,고양시_재차인원!$K$4:$O$4,0))</f>
        <v>1.9186331753402546E-5</v>
      </c>
      <c r="DL97" s="267">
        <f>INDEX($BC$94:$BP$107,MATCH($CW97,$L$94:$L$107,0),MATCH(DL$95,$BC$95:$BP$95,0))/INDEX(고양시_재차인원!$K$4:$O$20,MATCH("경기도",고양시_재차인원!$K$4:$K$20,0),MATCH('A.일산테크노밸리(859991)_수정'!DL$95,고양시_재차인원!$K$4:$O$4,0))</f>
        <v>1.2790887835601695E-5</v>
      </c>
      <c r="DM97" s="267">
        <f>INDEX($BC$94:$BP$107,MATCH($CW97,$L$94:$L$107,0),MATCH(DM$95,$BC$95:$BP$95,0))/INDEX(고양시_재차인원!$K$4:$O$20,MATCH("경기도",고양시_재차인원!$K$4:$K$20,0),MATCH('A.일산테크노밸리(859991)_수정'!DM$95,고양시_재차인원!$K$4:$O$4,0))</f>
        <v>5.2706166139001766E-5</v>
      </c>
      <c r="DN97" s="268">
        <f>INDEX($BQ$94:$CD$107,MATCH($CW97,$L$94:$L$107,0),MATCH(DN$95,$BQ$95:$CD$95,0))/INDEX(고양시_재차인원!$D$4:$H$35,MATCH("고양시",고양시_재차인원!$B$4:$B$35,0),MATCH('A.일산테크노밸리(859991)_수정'!$DN$94,고양시_재차인원!$D$4:$H$4,0))</f>
        <v>1.9112773474299176E-2</v>
      </c>
      <c r="DO97" s="267">
        <f>INDEX($BQ$94:$CD$107,MATCH($CW97,$L$94:$L$107,0),MATCH(DO$95,$BQ$95:$CD$95,0))/INDEX(고양시_재차인원!$K$4:$O$20,MATCH("경기도",고양시_재차인원!$K$4:$K$20,0),MATCH('A.일산테크노밸리(859991)_수정'!DO$95,고양시_재차인원!$K$4:$O$4,0))</f>
        <v>7.6303708161784914E-5</v>
      </c>
      <c r="DP97" s="267">
        <f>INDEX($BQ$94:$CD$107,MATCH($CW97,$L$94:$L$107,0),MATCH(DP$95,$BQ$95:$CD$95,0))/INDEX(고양시_재차인원!$K$4:$O$20,MATCH("경기도",고양시_재차인원!$K$4:$K$20,0),MATCH('A.일산테크노밸리(859991)_수정'!DP$95,고양시_재차인원!$K$4:$O$4,0))</f>
        <v>2.5484619523801871E-4</v>
      </c>
      <c r="DQ97" s="267">
        <f>INDEX($BQ$94:$CD$107,MATCH($CW97,$L$94:$L$107,0),MATCH(DQ$95,$BQ$95:$CD$95,0))/INDEX(고양시_재차인원!$K$4:$O$20,MATCH("경기도",고양시_재차인원!$K$4:$K$20,0),MATCH('A.일산테크노밸리(859991)_수정'!DQ$95,고양시_재차인원!$K$4:$O$4,0))</f>
        <v>1.8339280030822314E-5</v>
      </c>
      <c r="DR97" s="269">
        <f t="shared" ref="DR97:DR107" si="57">CX97+DB97+DF97+DJ97+DN97</f>
        <v>36.696142359967119</v>
      </c>
      <c r="DS97" s="270">
        <f t="shared" si="49"/>
        <v>3.1181502712351378E-4</v>
      </c>
      <c r="DT97" s="270">
        <f t="shared" si="50"/>
        <v>0.16150649788029059</v>
      </c>
      <c r="DU97" s="270">
        <f t="shared" si="51"/>
        <v>3.9875262240983647</v>
      </c>
      <c r="DW97" s="278"/>
      <c r="DX97" s="278" t="s">
        <v>591</v>
      </c>
      <c r="DY97" s="281">
        <f t="shared" ref="DY97:DY101" si="58">DR97+DU97</f>
        <v>40.683668584065487</v>
      </c>
      <c r="DZ97" s="281">
        <f t="shared" ref="DZ97:DZ101" si="59">DS97+DT97</f>
        <v>0.16181831290741411</v>
      </c>
      <c r="EC97" s="412" t="s">
        <v>13</v>
      </c>
      <c r="ED97" s="412" t="s">
        <v>76</v>
      </c>
      <c r="EE97" s="412">
        <v>3134.9627</v>
      </c>
      <c r="EF97" s="412">
        <v>0.77555789932683494</v>
      </c>
      <c r="EG97" s="413">
        <v>859003</v>
      </c>
      <c r="EH97" s="414">
        <f t="shared" si="52"/>
        <v>27.587963824617528</v>
      </c>
      <c r="EI97" s="415">
        <f t="shared" si="53"/>
        <v>0.10973046232116052</v>
      </c>
      <c r="EJ97" s="402">
        <v>0</v>
      </c>
      <c r="EM97" s="278" t="s">
        <v>13</v>
      </c>
      <c r="EN97" s="278" t="s">
        <v>76</v>
      </c>
      <c r="EO97" s="278">
        <v>3134.9627</v>
      </c>
      <c r="EP97" s="278">
        <v>0.77555789932683494</v>
      </c>
      <c r="EQ97" s="289">
        <v>859003</v>
      </c>
      <c r="ER97" s="290">
        <f t="shared" si="34"/>
        <v>27.587963824617528</v>
      </c>
      <c r="ES97" s="291">
        <f t="shared" si="35"/>
        <v>0.10973046232116052</v>
      </c>
      <c r="ET97" s="402">
        <v>0</v>
      </c>
      <c r="EV97" s="34"/>
      <c r="EW97" s="34"/>
      <c r="EX97" s="34"/>
      <c r="EY97" s="34"/>
      <c r="EZ97" s="378"/>
      <c r="FA97" s="401"/>
      <c r="FB97" s="402"/>
      <c r="FC97" s="402"/>
    </row>
    <row r="98" spans="1:159">
      <c r="A98" s="205"/>
      <c r="B98" s="205" t="s">
        <v>14</v>
      </c>
      <c r="C98" s="400">
        <f>'A.일산테크노밸리(859991)_수정'!$P30*KTDB_TripDistribution_2025!T$12</f>
        <v>118.76838032061902</v>
      </c>
      <c r="D98" s="400">
        <f>'A.일산테크노밸리(859991)_수정'!$P30*KTDB_TripDistribution_2025!U$12</f>
        <v>859.55106621773314</v>
      </c>
      <c r="E98" s="400">
        <f>'A.일산테크노밸리(859991)_수정'!$P30*KTDB_TripDistribution_2025!V$12</f>
        <v>49.310317101361782</v>
      </c>
      <c r="F98" s="400">
        <f>'A.일산테크노밸리(859991)_수정'!$P30*KTDB_TripDistribution_2025!W$12</f>
        <v>7.7491331222674209E-2</v>
      </c>
      <c r="G98" s="400">
        <f>'A.일산테크노밸리(859991)_수정'!$P30*KTDB_TripDistribution_2025!X$12</f>
        <v>0.29274502906343697</v>
      </c>
      <c r="H98" s="400">
        <f>'A.일산테크노밸리(859991)_수정'!$P30*KTDB_TripDistribution_2025!Y$12</f>
        <v>1028.0000000000002</v>
      </c>
      <c r="J98" s="230">
        <f t="shared" si="54"/>
        <v>1028</v>
      </c>
      <c r="K98" s="206"/>
      <c r="L98" s="209" t="s">
        <v>14</v>
      </c>
      <c r="M98" s="213">
        <f>INDEX($A$95:$H$107,MATCH($L98,$B$95:$B$107,0),MATCH($M$94,$A$95:$H$95,0))*고양시_Modal_split!C$3 * 0.01</f>
        <v>0.33255146489773324</v>
      </c>
      <c r="N98" s="213">
        <f>INDEX($A$95:$H$107,MATCH($L98,$B$95:$B$107,0),MATCH($M$94,$A$95:$H$95,0))*고양시_Modal_split!D$3 * 0.01</f>
        <v>55.856769264787125</v>
      </c>
      <c r="O98" s="213">
        <f>INDEX($A$95:$H$107,MATCH($L98,$B$95:$B$107,0),MATCH($M$94,$A$95:$H$95,0))*고양시_Modal_split!E$3 * 0.01</f>
        <v>6.7579208402432211</v>
      </c>
      <c r="P98" s="213">
        <f>INDEX($A$95:$H$107,MATCH($L98,$B$95:$B$107,0),MATCH($M$94,$A$95:$H$95,0))*고양시_Modal_split!F$3 * 0.01</f>
        <v>10.891060475400764</v>
      </c>
      <c r="Q98" s="213">
        <f>INDEX($A$95:$H$107,MATCH($L98,$B$95:$B$107,0),MATCH($M$94,$A$95:$H$95,0))*고양시_Modal_split!G$3 * 0.01</f>
        <v>1.092669098949695</v>
      </c>
      <c r="R98" s="213">
        <f>INDEX($A$95:$H$107,MATCH($L98,$B$95:$B$107,0),MATCH($M$94,$A$95:$H$95,0))*고양시_Modal_split!H$3 * 0.01</f>
        <v>1.1876838032061902E-2</v>
      </c>
      <c r="S98" s="213">
        <f>INDEX($A$95:$H$107,MATCH($L98,$B$95:$B$107,0),MATCH($M$94,$A$95:$H$95,0))*고양시_Modal_split!I$3 * 0.01</f>
        <v>3.3017609729132085</v>
      </c>
      <c r="T98" s="213">
        <f>INDEX($A$95:$H$107,MATCH($L98,$B$95:$B$107,0),MATCH($M$94,$A$95:$H$95,0))*고양시_Modal_split!J$3 * 0.01</f>
        <v>36.153094969596431</v>
      </c>
      <c r="U98" s="213">
        <f>INDEX($A$95:$H$107,MATCH($L98,$B$95:$B$107,0),MATCH($M$94,$A$95:$H$95,0))*고양시_Modal_split!K$3 * 0.01</f>
        <v>0.17815257048092853</v>
      </c>
      <c r="V98" s="213">
        <f>INDEX($A$95:$H$107,MATCH($L98,$B$95:$B$107,0),MATCH($M$94,$A$95:$H$95,0))*고양시_Modal_split!L$3 * 0.01</f>
        <v>3.5868050856826943</v>
      </c>
      <c r="W98" s="213">
        <f>INDEX($A$95:$H$107,MATCH($L98,$B$95:$B$107,0),MATCH($M$94,$A$95:$H$95,0))*고양시_Modal_split!M$3 * 0.01</f>
        <v>0.27316727473742375</v>
      </c>
      <c r="X98" s="213">
        <f>INDEX($A$95:$H$107,MATCH($L98,$B$95:$B$107,0),MATCH($M$94,$A$95:$H$95,0))*고양시_Modal_split!N$3 * 0.01</f>
        <v>0.11876838032061902</v>
      </c>
      <c r="Y98" s="213">
        <f>INDEX($A$95:$H$107,MATCH($L98,$B$95:$B$107,0),MATCH($M$94,$A$95:$H$95,0))*고양시_Modal_split!O$3 * 0.01</f>
        <v>0.21378308457711423</v>
      </c>
      <c r="Z98" s="213">
        <f>INDEX($A$95:$H$107,MATCH($L98,$B$95:$B$107,0),MATCH($M$94,$A$95:$H$95,0))*고양시_Modal_split!P$3 * 0.01</f>
        <v>118.76838032061902</v>
      </c>
      <c r="AA98" s="213">
        <f>INDEX($A$95:$H$107,MATCH($L98,$B$95:$B$107,0),MATCH($AA$94,$A$95:$H$95,0))*고양시_Modal_split!C$4 * 0.01</f>
        <v>261.64734455667798</v>
      </c>
      <c r="AB98" s="213">
        <f>INDEX($A$95:$H$107,MATCH($L98,$B$95:$B$107,0),MATCH($AA$94,$A$95:$H$95,0))*고양시_Modal_split!D$4 * 0.01</f>
        <v>275.658026936027</v>
      </c>
      <c r="AC98" s="213">
        <f>INDEX($A$95:$H$107,MATCH($L98,$B$95:$B$107,0),MATCH($AA$94,$A$95:$H$95,0))*고양시_Modal_split!E$4 * 0.01</f>
        <v>66.787117845117876</v>
      </c>
      <c r="AD98" s="213">
        <f>INDEX($A$95:$H$107,MATCH($L98,$B$95:$B$107,0),MATCH($AA$94,$A$95:$H$95,0))*고양시_Modal_split!F$4 * 0.01</f>
        <v>8.1657351290684641</v>
      </c>
      <c r="AE98" s="213">
        <f>INDEX($A$95:$H$107,MATCH($L98,$B$95:$B$107,0),MATCH($AA$94,$A$95:$H$95,0))*고양시_Modal_split!G$4 * 0.01</f>
        <v>100.65342985409654</v>
      </c>
      <c r="AF98" s="213">
        <f>INDEX($A$95:$H$107,MATCH($L98,$B$95:$B$107,0),MATCH($AA$94,$A$95:$H$95,0))*고양시_Modal_split!H$4 * 0.01</f>
        <v>0</v>
      </c>
      <c r="AG98" s="213">
        <f>INDEX($A$95:$H$107,MATCH($L98,$B$95:$B$107,0),MATCH($AA$94,$A$95:$H$95,0))*고양시_Modal_split!I$4 * 0.01</f>
        <v>29.912377104377111</v>
      </c>
      <c r="AH98" s="213">
        <f>INDEX($A$95:$H$107,MATCH($L98,$B$95:$B$107,0),MATCH($AA$94,$A$95:$H$95,0))*고양시_Modal_split!J$4 * 0.01</f>
        <v>40.48485521885523</v>
      </c>
      <c r="AI98" s="213">
        <f>INDEX($A$95:$H$107,MATCH($L98,$B$95:$B$107,0),MATCH($AA$94,$A$95:$H$95,0))*고양시_Modal_split!K$4 * 0.01</f>
        <v>0</v>
      </c>
      <c r="AJ98" s="213">
        <f>INDEX($A$95:$H$107,MATCH($L98,$B$95:$B$107,0),MATCH($AA$94,$A$95:$H$95,0))*고양시_Modal_split!L$4 * 0.01</f>
        <v>39.711259259259272</v>
      </c>
      <c r="AK98" s="213">
        <f>INDEX($A$95:$H$107,MATCH($L98,$B$95:$B$107,0),MATCH($AA$94,$A$95:$H$95,0))*고양시_Modal_split!M$4 * 0.01</f>
        <v>5.7589921436588121</v>
      </c>
      <c r="AL98" s="213">
        <f>INDEX($A$95:$H$107,MATCH($L98,$B$95:$B$107,0),MATCH($AA$94,$A$95:$H$95,0))*고양시_Modal_split!N$4 * 0.01</f>
        <v>21.488776655443331</v>
      </c>
      <c r="AM98" s="213">
        <f>INDEX($A$95:$H$107,MATCH($L98,$B$95:$B$107,0),MATCH($AA$94,$A$95:$H$95,0))*고양시_Modal_split!O$4 * 0.01</f>
        <v>9.283151515151518</v>
      </c>
      <c r="AN98" s="213">
        <f>INDEX($A$95:$H$107,MATCH($L98,$B$95:$B$107,0),MATCH($AA$94,$A$95:$H$95,0))*고양시_Modal_split!P$4 * 0.01</f>
        <v>859.55106621773314</v>
      </c>
      <c r="AO98" s="213">
        <f>INDEX($A$95:$H$107,MATCH($L98,$B$95:$B$107,0),MATCH($AO$94,$A$95:$H$95,0))*고양시_Modal_split!C$5 * 0.01</f>
        <v>2.9586190260817068E-2</v>
      </c>
      <c r="AP98" s="213">
        <f>INDEX($A$95:$H$107,MATCH($L98,$B$95:$B$107,0),MATCH($AO$94,$A$95:$H$95,0))*고양시_Modal_split!D$5 * 0.01</f>
        <v>36.134600371877916</v>
      </c>
      <c r="AQ98" s="213">
        <f>INDEX($A$95:$H$107,MATCH($L98,$B$95:$B$107,0),MATCH($AO$94,$A$95:$H$95,0))*고양시_Modal_split!E$5 * 0.01</f>
        <v>4.8570662344841358</v>
      </c>
      <c r="AR98" s="213">
        <f>INDEX($A$95:$H$107,MATCH($L98,$B$95:$B$107,0),MATCH($AO$94,$A$95:$H$95,0))*고양시_Modal_split!F$5 * 0.01</f>
        <v>1.0355166591285976</v>
      </c>
      <c r="AS98" s="213">
        <f>INDEX($A$95:$H$107,MATCH($L98,$B$95:$B$107,0),MATCH($AO$94,$A$95:$H$95,0))*고양시_Modal_split!G$5 * 0.01</f>
        <v>0.32051706115885159</v>
      </c>
      <c r="AT98" s="213">
        <f>INDEX($A$95:$H$107,MATCH($L98,$B$95:$B$107,0),MATCH($AO$94,$A$95:$H$95,0))*고양시_Modal_split!H$5 * 0.01</f>
        <v>3.4517221970953242E-2</v>
      </c>
      <c r="AU98" s="213">
        <f>INDEX($A$95:$H$107,MATCH($L98,$B$95:$B$107,0),MATCH($AO$94,$A$95:$H$95,0))*고양시_Modal_split!I$5 * 0.01</f>
        <v>1.3658957837077212</v>
      </c>
      <c r="AV98" s="213">
        <f>INDEX($A$95:$H$107,MATCH($L98,$B$95:$B$107,0),MATCH($AO$94,$A$95:$H$95,0))*고양시_Modal_split!J$5 * 0.01</f>
        <v>3.091756882255384</v>
      </c>
      <c r="AW98" s="213">
        <f>INDEX($A$95:$H$107,MATCH($L98,$B$95:$B$107,0),MATCH($AO$94,$A$95:$H$95,0))*고양시_Modal_split!K$5 * 0.01</f>
        <v>9.8620634202723576E-3</v>
      </c>
      <c r="AX98" s="213">
        <f>INDEX($A$95:$H$107,MATCH($L98,$B$95:$B$107,0),MATCH($AO$94,$A$95:$H$95,0))*고양시_Modal_split!L$5 * 0.01</f>
        <v>1.2574130860847255</v>
      </c>
      <c r="AY98" s="213">
        <f>INDEX($A$95:$H$107,MATCH($L98,$B$95:$B$107,0),MATCH($AO$94,$A$95:$H$95,0))*고양시_Modal_split!M$5 * 0.01</f>
        <v>0.33037912457912399</v>
      </c>
      <c r="AZ98" s="213">
        <f>INDEX($A$95:$H$107,MATCH($L98,$B$95:$B$107,0),MATCH($AO$94,$A$95:$H$95,0))*고양시_Modal_split!N$5 * 0.01</f>
        <v>8.3827539072315022E-2</v>
      </c>
      <c r="BA98" s="213">
        <f>INDEX($A$95:$H$107,MATCH($L98,$B$95:$B$107,0),MATCH($AO$94,$A$95:$H$95,0))*고양시_Modal_split!O$5 * 0.01</f>
        <v>0.75937888336097148</v>
      </c>
      <c r="BB98" s="213">
        <f>INDEX($A$95:$H$107,MATCH($L98,$B$95:$B$107,0),MATCH($AO$94,$A$95:$H$95,0))*고양시_Modal_split!P$5 * 0.01</f>
        <v>49.310317101361782</v>
      </c>
      <c r="BC98" s="213">
        <f>INDEX($A$95:$H$107,MATCH($L98,$B$95:$B$107,0),MATCH($BC$94,$A$95:$H$95,0))*고양시_Modal_split!C$6 * 0.01</f>
        <v>0</v>
      </c>
      <c r="BD98" s="207">
        <f>INDEX($A$95:$H$107,MATCH($L98,$B$95:$B$107,0),MATCH($BC$94,$A$95:$H$95,0))*고양시_Modal_split!D$6 * 0.01</f>
        <v>6.4170571385496505E-2</v>
      </c>
      <c r="BE98" s="207">
        <f>INDEX($A$95:$H$107,MATCH($L98,$B$95:$B$107,0),MATCH($BC$94,$A$95:$H$95,0))*고양시_Modal_split!E$6 * 0.01</f>
        <v>3.3321272425749907E-4</v>
      </c>
      <c r="BF98" s="207">
        <f>INDEX($A$95:$H$107,MATCH($L98,$B$95:$B$107,0),MATCH($BC$94,$A$95:$H$95,0))*고양시_Modal_split!F$6 * 0.01</f>
        <v>9.4539424091662542E-4</v>
      </c>
      <c r="BG98" s="207">
        <f>INDEX($A$95:$H$107,MATCH($L98,$B$95:$B$107,0),MATCH($BC$94,$A$95:$H$95,0))*고양시_Modal_split!G$6 * 0.01</f>
        <v>0</v>
      </c>
      <c r="BH98" s="207">
        <f>INDEX($A$95:$H$107,MATCH($L98,$B$95:$B$107,0),MATCH($BC$94,$A$95:$H$95,0))*고양시_Modal_split!H$6 * 0.01</f>
        <v>4.1147896879240014E-3</v>
      </c>
      <c r="BI98" s="207">
        <f>INDEX($A$95:$H$107,MATCH($L98,$B$95:$B$107,0),MATCH($BC$94,$A$95:$H$95,0))*고양시_Modal_split!I$6 * 0.01</f>
        <v>2.7431931252826672E-3</v>
      </c>
      <c r="BJ98" s="207">
        <f>INDEX($A$95:$H$107,MATCH($L98,$B$95:$B$107,0),MATCH($BC$94,$A$95:$H$95,0))*고양시_Modal_split!J$6 * 0.01</f>
        <v>3.8280717624001055E-3</v>
      </c>
      <c r="BK98" s="207">
        <f>INDEX($A$95:$H$107,MATCH($L98,$B$95:$B$107,0),MATCH($BC$94,$A$95:$H$95,0))*고양시_Modal_split!K$6 * 0.01</f>
        <v>0</v>
      </c>
      <c r="BL98" s="207">
        <f>INDEX($A$95:$H$107,MATCH($L98,$B$95:$B$107,0),MATCH($BC$94,$A$95:$H$95,0))*고양시_Modal_split!L$6 * 0.01</f>
        <v>5.8893411729232402E-4</v>
      </c>
      <c r="BM98" s="207">
        <f>INDEX($A$95:$H$107,MATCH($L98,$B$95:$B$107,0),MATCH($BC$94,$A$95:$H$95,0))*고양시_Modal_split!M$6 * 0.01</f>
        <v>7.0517111412633532E-4</v>
      </c>
      <c r="BN98" s="207">
        <f>INDEX($A$95:$H$107,MATCH($L98,$B$95:$B$107,0),MATCH($BC$94,$A$95:$H$95,0))*고양시_Modal_split!N$6 * 0.01</f>
        <v>0</v>
      </c>
      <c r="BO98" s="207">
        <f>INDEX($A$95:$H$107,MATCH($L98,$B$95:$B$107,0),MATCH($BC$94,$A$95:$H$95,0))*고양시_Modal_split!O$6 * 0.01</f>
        <v>6.1993064978139366E-5</v>
      </c>
      <c r="BP98" s="214">
        <f>INDEX($A$95:$H$107,MATCH($L98,$B$95:$B$107,0),MATCH($BC$94,$A$95:$H$95,0))*고양시_Modal_split!P$6 * 0.01</f>
        <v>7.7491331222674209E-2</v>
      </c>
      <c r="BQ98" s="213">
        <f>INDEX($A$95:$H$107,MATCH($L98,$B$95:$B$107,0),MATCH($BQ$94,$A$95:$H$95,0))*고양시_Modal_split!C$7 * 0.01</f>
        <v>0</v>
      </c>
      <c r="BR98" s="213">
        <f>INDEX($A$95:$H$107,MATCH($L98,$B$95:$B$107,0),MATCH($BQ$94,$A$95:$H$95,0))*고양시_Modal_split!D$7 * 0.01</f>
        <v>0.17939415381007418</v>
      </c>
      <c r="BS98" s="213">
        <f>INDEX($A$95:$H$107,MATCH($L98,$B$95:$B$107,0),MATCH($BQ$94,$A$95:$H$95,0))*고양시_Modal_split!E$7 * 0.01</f>
        <v>8.7530763689967657E-3</v>
      </c>
      <c r="BT98" s="213">
        <f>INDEX($A$95:$H$107,MATCH($L98,$B$95:$B$107,0),MATCH($BQ$94,$A$95:$H$95,0))*고양시_Modal_split!F$7 * 0.01</f>
        <v>2.9274502906343697E-3</v>
      </c>
      <c r="BU98" s="213">
        <f>INDEX($A$95:$H$107,MATCH($L98,$B$95:$B$107,0),MATCH($BQ$94,$A$95:$H$95,0))*고양시_Modal_split!G$7 * 0.01</f>
        <v>1.2295291220664351E-3</v>
      </c>
      <c r="BV98" s="213">
        <f>INDEX($A$95:$H$107,MATCH($L98,$B$95:$B$107,0),MATCH($BQ$94,$A$95:$H$95,0))*고양시_Modal_split!H$7 * 0.01</f>
        <v>1.6364447124646127E-2</v>
      </c>
      <c r="BW98" s="213">
        <f>INDEX($A$95:$H$107,MATCH($L98,$B$95:$B$107,0),MATCH($BQ$94,$A$95:$H$95,0))*고양시_Modal_split!I$7 * 0.01</f>
        <v>5.4655496926143687E-2</v>
      </c>
      <c r="BX98" s="213">
        <f>INDEX($A$95:$H$107,MATCH($L98,$B$95:$B$107,0),MATCH($BQ$94,$A$95:$H$95,0))*고양시_Modal_split!J$7 * 0.01</f>
        <v>5.8549005812687393E-5</v>
      </c>
      <c r="BY98" s="213">
        <f>INDEX($A$95:$H$107,MATCH($L98,$B$95:$B$107,0),MATCH($BQ$94,$A$95:$H$95,0))*고양시_Modal_split!K$7 * 0.01</f>
        <v>2.2541367237884646E-2</v>
      </c>
      <c r="BZ98" s="213">
        <f>INDEX($A$95:$H$107,MATCH($L98,$B$95:$B$107,0),MATCH($BQ$94,$A$95:$H$95,0))*고양시_Modal_split!L$7 * 0.01</f>
        <v>2.0492152034440585E-4</v>
      </c>
      <c r="CA98" s="213">
        <f>INDEX($A$95:$H$107,MATCH($L98,$B$95:$B$107,0),MATCH($BQ$94,$A$95:$H$95,0))*고양시_Modal_split!M$7 * 0.01</f>
        <v>5.474332043486272E-3</v>
      </c>
      <c r="CB98" s="213">
        <f>INDEX($A$95:$H$107,MATCH($L98,$B$95:$B$107,0),MATCH($BQ$94,$A$95:$H$95,0))*고양시_Modal_split!N$7 * 0.01</f>
        <v>1.1417056133474041E-3</v>
      </c>
      <c r="CC98" s="213">
        <f>INDEX($A$95:$H$107,MATCH($L98,$B$95:$B$107,0),MATCH($BQ$94,$A$95:$H$95,0))*고양시_Modal_split!O$7 * 0.01</f>
        <v>0</v>
      </c>
      <c r="CD98" s="213">
        <f>INDEX($A$95:$H$107,MATCH($L98,$B$95:$B$107,0),MATCH($BQ$94,$A$95:$H$95,0))*고양시_Modal_split!P$7 * 0.01</f>
        <v>0.29274502906343697</v>
      </c>
      <c r="CE98" s="218">
        <f t="shared" si="55"/>
        <v>262.00948221183654</v>
      </c>
      <c r="CF98" s="208">
        <f t="shared" si="36"/>
        <v>367.89296129788761</v>
      </c>
      <c r="CG98" s="208">
        <f t="shared" si="37"/>
        <v>78.411191208938476</v>
      </c>
      <c r="CH98" s="208">
        <f t="shared" si="38"/>
        <v>20.096185108129376</v>
      </c>
      <c r="CI98" s="208">
        <f t="shared" si="39"/>
        <v>102.06784554332717</v>
      </c>
      <c r="CJ98" s="208">
        <f t="shared" si="40"/>
        <v>6.6873296815585279E-2</v>
      </c>
      <c r="CK98" s="208">
        <f t="shared" si="41"/>
        <v>34.637432551049471</v>
      </c>
      <c r="CL98" s="208">
        <f t="shared" si="42"/>
        <v>79.733593691475264</v>
      </c>
      <c r="CM98" s="208">
        <f t="shared" si="43"/>
        <v>0.21055600113908551</v>
      </c>
      <c r="CN98" s="208">
        <f t="shared" si="44"/>
        <v>44.55627128666432</v>
      </c>
      <c r="CO98" s="208">
        <f t="shared" si="45"/>
        <v>6.3687180461329724</v>
      </c>
      <c r="CP98" s="208">
        <f t="shared" si="46"/>
        <v>21.692514280449611</v>
      </c>
      <c r="CQ98" s="208">
        <f t="shared" si="47"/>
        <v>10.256375476154583</v>
      </c>
      <c r="CR98" s="219">
        <f t="shared" si="48"/>
        <v>1028</v>
      </c>
      <c r="CS98" s="225">
        <f t="shared" si="56"/>
        <v>0</v>
      </c>
      <c r="CV98" s="265"/>
      <c r="CW98" s="266" t="s">
        <v>14</v>
      </c>
      <c r="CX98" s="267">
        <f>INDEX($M$94:$Z$107,MATCH($CW98,$L$94:$L$107,0),MATCH(CX$95,$M$95:$Z$95,0))/INDEX(고양시_재차인원!$D$4:$H$35,MATCH("고양시",고양시_재차인원!$B$4:$B$35,0),MATCH('A.일산테크노밸리(859991)_수정'!$CX$94,고양시_재차인원!$D$4:$H$4,0))</f>
        <v>49.8721154149885</v>
      </c>
      <c r="CY98" s="267">
        <f>INDEX($M$94:$Z$107,MATCH($CW98,$L$94:$L$107,0),MATCH(CY$95,$M$95:$Z$95,0))/INDEX(고양시_재차인원!$K$4:$O$20,MATCH("경기도",고양시_재차인원!$K$4:$K$20,0),MATCH('A.일산테크노밸리(859991)_수정'!CY$95,고양시_재차인원!$K$4:$O$4,0))</f>
        <v>4.1253345022792301E-4</v>
      </c>
      <c r="CZ98" s="267">
        <f>INDEX($M$94:$Z$107,MATCH($CW98,$L$94:$L$107,0),MATCH(CZ$95,$M$95:$Z$95,0))/INDEX(고양시_재차인원!$K$4:$O$20,MATCH("경기도",고양시_재차인원!$K$4:$K$20,0),MATCH('A.일산테크노밸리(859991)_수정'!CZ$95,고양시_재차인원!$K$4:$O$4,0))</f>
        <v>0.11468429916336258</v>
      </c>
      <c r="DA98" s="267">
        <f>INDEX($M$94:$Z$107,MATCH($CW98,$L$94:$L$107,0),MATCH(DA$95,$M$95:$Z$95,0))/INDEX(고양시_재차인원!$K$4:$O$20,MATCH("경기도",고양시_재차인원!$K$4:$K$20,0),MATCH('A.일산테크노밸리(859991)_수정'!DA$95,고양시_재차인원!$K$4:$O$4,0))</f>
        <v>2.3912033904551295</v>
      </c>
      <c r="DB98" s="268">
        <f>INDEX($AA$94:$AN$107,MATCH($CW98,$L$94:$L$107,0),MATCH(DB$95,$AA$95:$AN$95,0))/INDEX(고양시_재차인원!$D$4:$H$35,MATCH("고양시",고양시_재차인원!$B$4:$B$35,0),MATCH('A.일산테크노밸리(859991)_수정'!$DB$94,고양시_재차인원!$D$4:$H$4,0))</f>
        <v>195.50214676313973</v>
      </c>
      <c r="DC98" s="267">
        <f>INDEX($AA$94:$AN$107,MATCH($CW98,$L$94:$L$107,0),MATCH(DC$95,$AA$95:$AN$95,0))/INDEX(고양시_재차인원!$K$4:$O$20,MATCH("경기도",고양시_재차인원!$K$4:$K$20,0),MATCH('A.일산테크노밸리(859991)_수정'!DC$95,고양시_재차인원!$K$4:$O$4,0))</f>
        <v>0</v>
      </c>
      <c r="DD98" s="267">
        <f>INDEX($AA$94:$AN$107,MATCH($CW98,$L$94:$L$107,0),MATCH(DD$95,$AA$95:$AN$95,0))/INDEX(고양시_재차인원!$K$4:$O$20,MATCH("경기도",고양시_재차인원!$K$4:$K$20,0),MATCH('A.일산테크노밸리(859991)_수정'!DD$95,고양시_재차인원!$K$4:$O$4,0))</f>
        <v>1.0389849636810389</v>
      </c>
      <c r="DE98" s="267">
        <f>INDEX($AA$94:$AN$107,MATCH($CW98,$L$94:$L$107,0),MATCH(DE$95,$AA$95:$AN$95,0))/INDEX(고양시_재차인원!$K$4:$O$20,MATCH("경기도",고양시_재차인원!$K$4:$K$20,0),MATCH('A.일산테크노밸리(859991)_수정'!DE$95,고양시_재차인원!$K$4:$O$4,0))</f>
        <v>26.474172839506181</v>
      </c>
      <c r="DF98" s="268">
        <f>INDEX($AO$94:$BB$107,MATCH($CW98,$L$94:$L$107,0),MATCH(DF$95,$AO$95:$BB$95,0))/INDEX(고양시_재차인원!$D$4:$H$35,MATCH("고양시",고양시_재차인원!$B$4:$B$35,0),MATCH('A.일산테크노밸리(859991)_수정'!$DF$94,고양시_재차인원!$D$4:$H$4,0))</f>
        <v>27.795846439906089</v>
      </c>
      <c r="DG98" s="267">
        <f>INDEX($AO$94:$BB$107,MATCH($CW98,$L$94:$L$107,0),MATCH(DG$95,$AO$95:$BB$95,0))/INDEX(고양시_재차인원!$K$4:$O$20,MATCH("경기도",고양시_재차인원!$K$4:$K$20,0),MATCH('A.일산테크노밸리(859991)_수정'!DG$95,고양시_재차인원!$K$4:$O$4,0))</f>
        <v>1.1989309472370004E-3</v>
      </c>
      <c r="DH98" s="267">
        <f>INDEX($AO$94:$BB$107,MATCH($CW98,$L$94:$L$107,0),MATCH(DH$95,$AO$95:$BB$95,0))/INDEX(고양시_재차인원!$K$4:$O$20,MATCH("경기도",고양시_재차인원!$K$4:$K$20,0),MATCH('A.일산테크노밸리(859991)_수정'!DH$95,고양시_재차인원!$K$4:$O$4,0))</f>
        <v>4.7443410340664162E-2</v>
      </c>
      <c r="DI98" s="267">
        <f>INDEX($AO$94:$BB$107,MATCH($CW98,$L$94:$L$107,0),MATCH(DI$95,$AO$95:$BB$95,0))/INDEX(고양시_재차인원!$K$4:$O$20,MATCH("경기도",고양시_재차인원!$K$4:$K$20,0),MATCH('A.일산테크노밸리(859991)_수정'!DI$95,고양시_재차인원!$K$4:$O$4,0))</f>
        <v>0.83827539072315027</v>
      </c>
      <c r="DJ98" s="268">
        <f>INDEX($BC$94:$BP$107,MATCH($CW98,$L$94:$L$107,0),MATCH(DJ$95,$BC$95:$BP$95,0))/INDEX(고양시_재차인원!$D$4:$H$35,MATCH("고양시",고양시_재차인원!$B$4:$B$35,0),MATCH('A.일산테크노밸리(859991)_수정'!$DJ$94,고양시_재차인원!$D$4:$H$4,0))</f>
        <v>4.7184243665806251E-2</v>
      </c>
      <c r="DK98" s="267">
        <f>INDEX($BC$94:$BP$107,MATCH($CW98,$L$94:$L$107,0),MATCH(DK$95,$BC$95:$BP$95,0))/INDEX(고양시_재차인원!$K$4:$O$20,MATCH("경기도",고양시_재차인원!$K$4:$K$20,0),MATCH('A.일산테크노밸리(859991)_수정'!DK$95,고양시_재차인원!$K$4:$O$4,0))</f>
        <v>1.4292426842389723E-4</v>
      </c>
      <c r="DL98" s="267">
        <f>INDEX($BC$94:$BP$107,MATCH($CW98,$L$94:$L$107,0),MATCH(DL$95,$BC$95:$BP$95,0))/INDEX(고양시_재차인원!$K$4:$O$20,MATCH("경기도",고양시_재차인원!$K$4:$K$20,0),MATCH('A.일산테크노밸리(859991)_수정'!DL$95,고양시_재차인원!$K$4:$O$4,0))</f>
        <v>9.5282845615931471E-5</v>
      </c>
      <c r="DM98" s="267">
        <f>INDEX($BC$94:$BP$107,MATCH($CW98,$L$94:$L$107,0),MATCH(DM$95,$BC$95:$BP$95,0))/INDEX(고양시_재차인원!$K$4:$O$20,MATCH("경기도",고양시_재차인원!$K$4:$K$20,0),MATCH('A.일산테크노밸리(859991)_수정'!DM$95,고양시_재차인원!$K$4:$O$4,0))</f>
        <v>3.9262274486154936E-4</v>
      </c>
      <c r="DN98" s="268">
        <f>INDEX($BQ$94:$CD$107,MATCH($CW98,$L$94:$L$107,0),MATCH(DN$95,$BQ$95:$CD$95,0))/INDEX(고양시_재차인원!$D$4:$H$35,MATCH("고양시",고양시_재차인원!$B$4:$B$35,0),MATCH('A.일산테크노밸리(859991)_수정'!$DN$94,고양시_재차인원!$D$4:$H$4,0))</f>
        <v>0.14237631254767791</v>
      </c>
      <c r="DO98" s="267">
        <f>INDEX($BQ$94:$CD$107,MATCH($CW98,$L$94:$L$107,0),MATCH(DO$95,$BQ$95:$CD$95,0))/INDEX(고양시_재차인원!$K$4:$O$20,MATCH("경기도",고양시_재차인원!$K$4:$K$20,0),MATCH('A.일산테크노밸리(859991)_수정'!DO$95,고양시_재차인원!$K$4:$O$4,0))</f>
        <v>5.6840733326315139E-4</v>
      </c>
      <c r="DP98" s="267">
        <f>INDEX($BQ$94:$CD$107,MATCH($CW98,$L$94:$L$107,0),MATCH(DP$95,$BQ$95:$CD$95,0))/INDEX(고양시_재차인원!$K$4:$O$20,MATCH("경기도",고양시_재차인원!$K$4:$K$20,0),MATCH('A.일산테크노밸리(859991)_수정'!DP$95,고양시_재차인원!$K$4:$O$4,0))</f>
        <v>1.8984194833672695E-3</v>
      </c>
      <c r="DQ98" s="267">
        <f>INDEX($BQ$94:$CD$107,MATCH($CW98,$L$94:$L$107,0),MATCH(DQ$95,$BQ$95:$CD$95,0))/INDEX(고양시_재차인원!$K$4:$O$20,MATCH("경기도",고양시_재차인원!$K$4:$K$20,0),MATCH('A.일산테크노밸리(859991)_수정'!DQ$95,고양시_재차인원!$K$4:$O$4,0))</f>
        <v>1.3661434689627057E-4</v>
      </c>
      <c r="DR98" s="269">
        <f t="shared" si="57"/>
        <v>273.35966917424781</v>
      </c>
      <c r="DS98" s="270">
        <f t="shared" si="49"/>
        <v>2.322795999151972E-3</v>
      </c>
      <c r="DT98" s="270">
        <f t="shared" si="50"/>
        <v>1.203106375514049</v>
      </c>
      <c r="DU98" s="270">
        <f t="shared" si="51"/>
        <v>29.704180857776219</v>
      </c>
      <c r="DW98" s="278"/>
      <c r="DX98" s="278" t="s">
        <v>592</v>
      </c>
      <c r="DY98" s="281">
        <f t="shared" si="58"/>
        <v>303.06385003202405</v>
      </c>
      <c r="DZ98" s="281">
        <f t="shared" si="59"/>
        <v>1.2054291715132011</v>
      </c>
      <c r="EC98" s="412" t="s">
        <v>14</v>
      </c>
      <c r="ED98" s="412" t="s">
        <v>570</v>
      </c>
      <c r="EE98" s="412">
        <v>5454.9395000000004</v>
      </c>
      <c r="EF98" s="412">
        <v>0.43129277327301779</v>
      </c>
      <c r="EG98" s="413">
        <v>859004</v>
      </c>
      <c r="EH98" s="414">
        <f t="shared" si="52"/>
        <v>114.28563130278749</v>
      </c>
      <c r="EI98" s="415">
        <f t="shared" si="53"/>
        <v>0.45456834869162116</v>
      </c>
      <c r="EJ98" s="402">
        <v>0</v>
      </c>
      <c r="EM98" s="278" t="s">
        <v>14</v>
      </c>
      <c r="EN98" s="278" t="s">
        <v>570</v>
      </c>
      <c r="EO98" s="278">
        <v>5454.9395000000004</v>
      </c>
      <c r="EP98" s="278">
        <v>0.43129277327301779</v>
      </c>
      <c r="EQ98" s="289">
        <v>859004</v>
      </c>
      <c r="ER98" s="290">
        <f t="shared" si="34"/>
        <v>114.28563130278749</v>
      </c>
      <c r="ES98" s="291">
        <f t="shared" si="35"/>
        <v>0.45456834869162116</v>
      </c>
      <c r="ET98" s="402">
        <v>0</v>
      </c>
      <c r="EV98" s="34"/>
      <c r="EW98" s="34"/>
      <c r="EX98" s="34"/>
      <c r="EY98" s="34"/>
      <c r="EZ98" s="378"/>
      <c r="FA98" s="401"/>
      <c r="FB98" s="402"/>
      <c r="FC98" s="402"/>
    </row>
    <row r="99" spans="1:159" ht="16.5" customHeight="1">
      <c r="A99" s="205"/>
      <c r="B99" s="205" t="s">
        <v>15</v>
      </c>
      <c r="C99" s="400">
        <f>'A.일산테크노밸리(859991)_수정'!$P31*KTDB_TripDistribution_2025!T$12</f>
        <v>3351.2786069651711</v>
      </c>
      <c r="D99" s="400">
        <f>'A.일산테크노밸리(859991)_수정'!$P31*KTDB_TripDistribution_2025!U$12</f>
        <v>24253.888888888894</v>
      </c>
      <c r="E99" s="400">
        <f>'A.일산테크노밸리(859991)_수정'!$P31*KTDB_TripDistribution_2025!V$12</f>
        <v>1391.3855721393008</v>
      </c>
      <c r="F99" s="400">
        <f>'A.일산테크노밸리(859991)_수정'!$P31*KTDB_TripDistribution_2025!W$12</f>
        <v>2.1865671641790962</v>
      </c>
      <c r="G99" s="400">
        <f>'A.일산테크노밸리(859991)_수정'!$P31*KTDB_TripDistribution_2025!X$12</f>
        <v>8.2603648424543934</v>
      </c>
      <c r="H99" s="400">
        <f>'A.일산테크노밸리(859991)_수정'!$P31*KTDB_TripDistribution_2025!Y$12</f>
        <v>29007.000000000007</v>
      </c>
      <c r="J99" s="230">
        <f t="shared" si="54"/>
        <v>29007</v>
      </c>
      <c r="K99" s="206"/>
      <c r="L99" s="209" t="s">
        <v>15</v>
      </c>
      <c r="M99" s="213">
        <f>INDEX($A$95:$H$107,MATCH($L99,$B$95:$B$107,0),MATCH($M$94,$A$95:$H$95,0))*고양시_Modal_split!C$3 * 0.01</f>
        <v>9.3835800995024794</v>
      </c>
      <c r="N99" s="213">
        <f>INDEX($A$95:$H$107,MATCH($L99,$B$95:$B$107,0),MATCH($M$94,$A$95:$H$95,0))*고양시_Modal_split!D$3 * 0.01</f>
        <v>1576.10632885572</v>
      </c>
      <c r="O99" s="213">
        <f>INDEX($A$95:$H$107,MATCH($L99,$B$95:$B$107,0),MATCH($M$94,$A$95:$H$95,0))*고양시_Modal_split!E$3 * 0.01</f>
        <v>190.68775273631823</v>
      </c>
      <c r="P99" s="213">
        <f>INDEX($A$95:$H$107,MATCH($L99,$B$95:$B$107,0),MATCH($M$94,$A$95:$H$95,0))*고양시_Modal_split!F$3 * 0.01</f>
        <v>307.31224825870623</v>
      </c>
      <c r="Q99" s="213">
        <f>INDEX($A$95:$H$107,MATCH($L99,$B$95:$B$107,0),MATCH($M$94,$A$95:$H$95,0))*고양시_Modal_split!G$3 * 0.01</f>
        <v>30.831763184079573</v>
      </c>
      <c r="R99" s="213">
        <f>INDEX($A$95:$H$107,MATCH($L99,$B$95:$B$107,0),MATCH($M$94,$A$95:$H$95,0))*고양시_Modal_split!H$3 * 0.01</f>
        <v>0.33512786069651712</v>
      </c>
      <c r="S99" s="213">
        <f>INDEX($A$95:$H$107,MATCH($L99,$B$95:$B$107,0),MATCH($M$94,$A$95:$H$95,0))*고양시_Modal_split!I$3 * 0.01</f>
        <v>93.16554527363175</v>
      </c>
      <c r="T99" s="213">
        <f>INDEX($A$95:$H$107,MATCH($L99,$B$95:$B$107,0),MATCH($M$94,$A$95:$H$95,0))*고양시_Modal_split!J$3 * 0.01</f>
        <v>1020.1292079601982</v>
      </c>
      <c r="U99" s="213">
        <f>INDEX($A$95:$H$107,MATCH($L99,$B$95:$B$107,0),MATCH($M$94,$A$95:$H$95,0))*고양시_Modal_split!K$3 * 0.01</f>
        <v>5.0269179104477564</v>
      </c>
      <c r="V99" s="213">
        <f>INDEX($A$95:$H$107,MATCH($L99,$B$95:$B$107,0),MATCH($M$94,$A$95:$H$95,0))*고양시_Modal_split!L$3 * 0.01</f>
        <v>101.20861393034816</v>
      </c>
      <c r="W99" s="213">
        <f>INDEX($A$95:$H$107,MATCH($L99,$B$95:$B$107,0),MATCH($M$94,$A$95:$H$95,0))*고양시_Modal_split!M$3 * 0.01</f>
        <v>7.7079407960198933</v>
      </c>
      <c r="X99" s="213">
        <f>INDEX($A$95:$H$107,MATCH($L99,$B$95:$B$107,0),MATCH($M$94,$A$95:$H$95,0))*고양시_Modal_split!N$3 * 0.01</f>
        <v>3.3512786069651712</v>
      </c>
      <c r="Y99" s="213">
        <f>INDEX($A$95:$H$107,MATCH($L99,$B$95:$B$107,0),MATCH($M$94,$A$95:$H$95,0))*고양시_Modal_split!O$3 * 0.01</f>
        <v>6.0323014925373082</v>
      </c>
      <c r="Z99" s="213">
        <f>INDEX($A$95:$H$107,MATCH($L99,$B$95:$B$107,0),MATCH($M$94,$A$95:$H$95,0))*고양시_Modal_split!P$3 * 0.01</f>
        <v>3351.2786069651711</v>
      </c>
      <c r="AA99" s="213">
        <f>INDEX($A$95:$H$107,MATCH($L99,$B$95:$B$107,0),MATCH($AA$94,$A$95:$H$95,0))*고양시_Modal_split!C$4 * 0.01</f>
        <v>7382.8837777777799</v>
      </c>
      <c r="AB99" s="213">
        <f>INDEX($A$95:$H$107,MATCH($L99,$B$95:$B$107,0),MATCH($AA$94,$A$95:$H$95,0))*고양시_Modal_split!D$4 * 0.01</f>
        <v>7778.2221666666683</v>
      </c>
      <c r="AC99" s="213">
        <f>INDEX($A$95:$H$107,MATCH($L99,$B$95:$B$107,0),MATCH($AA$94,$A$95:$H$95,0))*고양시_Modal_split!E$4 * 0.01</f>
        <v>1884.5271666666674</v>
      </c>
      <c r="AD99" s="213">
        <f>INDEX($A$95:$H$107,MATCH($L99,$B$95:$B$107,0),MATCH($AA$94,$A$95:$H$95,0))*고양시_Modal_split!F$4 * 0.01</f>
        <v>230.41194444444449</v>
      </c>
      <c r="AE99" s="213">
        <f>INDEX($A$95:$H$107,MATCH($L99,$B$95:$B$107,0),MATCH($AA$94,$A$95:$H$95,0))*고양시_Modal_split!G$4 * 0.01</f>
        <v>2840.1303888888892</v>
      </c>
      <c r="AF99" s="213">
        <f>INDEX($A$95:$H$107,MATCH($L99,$B$95:$B$107,0),MATCH($AA$94,$A$95:$H$95,0))*고양시_Modal_split!H$4 * 0.01</f>
        <v>0</v>
      </c>
      <c r="AG99" s="213">
        <f>INDEX($A$95:$H$107,MATCH($L99,$B$95:$B$107,0),MATCH($AA$94,$A$95:$H$95,0))*고양시_Modal_split!I$4 * 0.01</f>
        <v>844.03533333333337</v>
      </c>
      <c r="AH99" s="213">
        <f>INDEX($A$95:$H$107,MATCH($L99,$B$95:$B$107,0),MATCH($AA$94,$A$95:$H$95,0))*고양시_Modal_split!J$4 * 0.01</f>
        <v>1142.3581666666669</v>
      </c>
      <c r="AI99" s="213">
        <f>INDEX($A$95:$H$107,MATCH($L99,$B$95:$B$107,0),MATCH($AA$94,$A$95:$H$95,0))*고양시_Modal_split!K$4 * 0.01</f>
        <v>0</v>
      </c>
      <c r="AJ99" s="213">
        <f>INDEX($A$95:$H$107,MATCH($L99,$B$95:$B$107,0),MATCH($AA$94,$A$95:$H$95,0))*고양시_Modal_split!L$4 * 0.01</f>
        <v>1120.529666666667</v>
      </c>
      <c r="AK99" s="213">
        <f>INDEX($A$95:$H$107,MATCH($L99,$B$95:$B$107,0),MATCH($AA$94,$A$95:$H$95,0))*고양시_Modal_split!M$4 * 0.01</f>
        <v>162.50105555555561</v>
      </c>
      <c r="AL99" s="213">
        <f>INDEX($A$95:$H$107,MATCH($L99,$B$95:$B$107,0),MATCH($AA$94,$A$95:$H$95,0))*고양시_Modal_split!N$4 * 0.01</f>
        <v>606.3472222222224</v>
      </c>
      <c r="AM99" s="213">
        <f>INDEX($A$95:$H$107,MATCH($L99,$B$95:$B$107,0),MATCH($AA$94,$A$95:$H$95,0))*고양시_Modal_split!O$4 * 0.01</f>
        <v>261.94200000000006</v>
      </c>
      <c r="AN99" s="213">
        <f>INDEX($A$95:$H$107,MATCH($L99,$B$95:$B$107,0),MATCH($AA$94,$A$95:$H$95,0))*고양시_Modal_split!P$4 * 0.01</f>
        <v>24253.888888888894</v>
      </c>
      <c r="AO99" s="213">
        <f>INDEX($A$95:$H$107,MATCH($L99,$B$95:$B$107,0),MATCH($AO$94,$A$95:$H$95,0))*고양시_Modal_split!C$5 * 0.01</f>
        <v>0.83483134328358055</v>
      </c>
      <c r="AP99" s="213">
        <f>INDEX($A$95:$H$107,MATCH($L99,$B$95:$B$107,0),MATCH($AO$94,$A$95:$H$95,0))*고양시_Modal_split!D$5 * 0.01</f>
        <v>1019.6073472636797</v>
      </c>
      <c r="AQ99" s="213">
        <f>INDEX($A$95:$H$107,MATCH($L99,$B$95:$B$107,0),MATCH($AO$94,$A$95:$H$95,0))*고양시_Modal_split!E$5 * 0.01</f>
        <v>137.05147885572111</v>
      </c>
      <c r="AR99" s="213">
        <f>INDEX($A$95:$H$107,MATCH($L99,$B$95:$B$107,0),MATCH($AO$94,$A$95:$H$95,0))*고양시_Modal_split!F$5 * 0.01</f>
        <v>29.219097014925321</v>
      </c>
      <c r="AS99" s="213">
        <f>INDEX($A$95:$H$107,MATCH($L99,$B$95:$B$107,0),MATCH($AO$94,$A$95:$H$95,0))*고양시_Modal_split!G$5 * 0.01</f>
        <v>9.0440062189054569</v>
      </c>
      <c r="AT99" s="213">
        <f>INDEX($A$95:$H$107,MATCH($L99,$B$95:$B$107,0),MATCH($AO$94,$A$95:$H$95,0))*고양시_Modal_split!H$5 * 0.01</f>
        <v>0.97396990049751053</v>
      </c>
      <c r="AU99" s="213">
        <f>INDEX($A$95:$H$107,MATCH($L99,$B$95:$B$107,0),MATCH($AO$94,$A$95:$H$95,0))*고양시_Modal_split!I$5 * 0.01</f>
        <v>38.541380348258635</v>
      </c>
      <c r="AV99" s="213">
        <f>INDEX($A$95:$H$107,MATCH($L99,$B$95:$B$107,0),MATCH($AO$94,$A$95:$H$95,0))*고양시_Modal_split!J$5 * 0.01</f>
        <v>87.239875373134169</v>
      </c>
      <c r="AW99" s="213">
        <f>INDEX($A$95:$H$107,MATCH($L99,$B$95:$B$107,0),MATCH($AO$94,$A$95:$H$95,0))*고양시_Modal_split!K$5 * 0.01</f>
        <v>0.27827711442786018</v>
      </c>
      <c r="AX99" s="213">
        <f>INDEX($A$95:$H$107,MATCH($L99,$B$95:$B$107,0),MATCH($AO$94,$A$95:$H$95,0))*고양시_Modal_split!L$5 * 0.01</f>
        <v>35.480332089552171</v>
      </c>
      <c r="AY99" s="213">
        <f>INDEX($A$95:$H$107,MATCH($L99,$B$95:$B$107,0),MATCH($AO$94,$A$95:$H$95,0))*고양시_Modal_split!M$5 * 0.01</f>
        <v>9.322283333333317</v>
      </c>
      <c r="AZ99" s="213">
        <f>INDEX($A$95:$H$107,MATCH($L99,$B$95:$B$107,0),MATCH($AO$94,$A$95:$H$95,0))*고양시_Modal_split!N$5 * 0.01</f>
        <v>2.3653554726368111</v>
      </c>
      <c r="BA99" s="213">
        <f>INDEX($A$95:$H$107,MATCH($L99,$B$95:$B$107,0),MATCH($AO$94,$A$95:$H$95,0))*고양시_Modal_split!O$5 * 0.01</f>
        <v>21.427337810945232</v>
      </c>
      <c r="BB99" s="213">
        <f>INDEX($A$95:$H$107,MATCH($L99,$B$95:$B$107,0),MATCH($AO$94,$A$95:$H$95,0))*고양시_Modal_split!P$5 * 0.01</f>
        <v>1391.3855721393006</v>
      </c>
      <c r="BC99" s="213">
        <f>INDEX($A$95:$H$107,MATCH($L99,$B$95:$B$107,0),MATCH($BC$94,$A$95:$H$95,0))*고양시_Modal_split!C$6 * 0.01</f>
        <v>0</v>
      </c>
      <c r="BD99" s="207">
        <f>INDEX($A$95:$H$107,MATCH($L99,$B$95:$B$107,0),MATCH($BC$94,$A$95:$H$95,0))*고양시_Modal_split!D$6 * 0.01</f>
        <v>1.8106962686567094</v>
      </c>
      <c r="BE99" s="207">
        <f>INDEX($A$95:$H$107,MATCH($L99,$B$95:$B$107,0),MATCH($BC$94,$A$95:$H$95,0))*고양시_Modal_split!E$6 * 0.01</f>
        <v>9.4022388059701138E-3</v>
      </c>
      <c r="BF99" s="207">
        <f>INDEX($A$95:$H$107,MATCH($L99,$B$95:$B$107,0),MATCH($BC$94,$A$95:$H$95,0))*고양시_Modal_split!F$6 * 0.01</f>
        <v>2.6676119402984973E-2</v>
      </c>
      <c r="BG99" s="207">
        <f>INDEX($A$95:$H$107,MATCH($L99,$B$95:$B$107,0),MATCH($BC$94,$A$95:$H$95,0))*고양시_Modal_split!G$6 * 0.01</f>
        <v>0</v>
      </c>
      <c r="BH99" s="207">
        <f>INDEX($A$95:$H$107,MATCH($L99,$B$95:$B$107,0),MATCH($BC$94,$A$95:$H$95,0))*고양시_Modal_split!H$6 * 0.01</f>
        <v>0.11610671641791002</v>
      </c>
      <c r="BI99" s="207">
        <f>INDEX($A$95:$H$107,MATCH($L99,$B$95:$B$107,0),MATCH($BC$94,$A$95:$H$95,0))*고양시_Modal_split!I$6 * 0.01</f>
        <v>7.7404477611940012E-2</v>
      </c>
      <c r="BJ99" s="207">
        <f>INDEX($A$95:$H$107,MATCH($L99,$B$95:$B$107,0),MATCH($BC$94,$A$95:$H$95,0))*고양시_Modal_split!J$6 * 0.01</f>
        <v>0.10801641791044735</v>
      </c>
      <c r="BK99" s="207">
        <f>INDEX($A$95:$H$107,MATCH($L99,$B$95:$B$107,0),MATCH($BC$94,$A$95:$H$95,0))*고양시_Modal_split!K$6 * 0.01</f>
        <v>0</v>
      </c>
      <c r="BL99" s="207">
        <f>INDEX($A$95:$H$107,MATCH($L99,$B$95:$B$107,0),MATCH($BC$94,$A$95:$H$95,0))*고양시_Modal_split!L$6 * 0.01</f>
        <v>1.661791044776113E-2</v>
      </c>
      <c r="BM99" s="207">
        <f>INDEX($A$95:$H$107,MATCH($L99,$B$95:$B$107,0),MATCH($BC$94,$A$95:$H$95,0))*고양시_Modal_split!M$6 * 0.01</f>
        <v>1.9897761194029778E-2</v>
      </c>
      <c r="BN99" s="207">
        <f>INDEX($A$95:$H$107,MATCH($L99,$B$95:$B$107,0),MATCH($BC$94,$A$95:$H$95,0))*고양시_Modal_split!N$6 * 0.01</f>
        <v>0</v>
      </c>
      <c r="BO99" s="207">
        <f>INDEX($A$95:$H$107,MATCH($L99,$B$95:$B$107,0),MATCH($BC$94,$A$95:$H$95,0))*고양시_Modal_split!O$6 * 0.01</f>
        <v>1.749253731343277E-3</v>
      </c>
      <c r="BP99" s="214">
        <f>INDEX($A$95:$H$107,MATCH($L99,$B$95:$B$107,0),MATCH($BC$94,$A$95:$H$95,0))*고양시_Modal_split!P$6 * 0.01</f>
        <v>2.1865671641790962</v>
      </c>
      <c r="BQ99" s="213">
        <f>INDEX($A$95:$H$107,MATCH($L99,$B$95:$B$107,0),MATCH($BQ$94,$A$95:$H$95,0))*고양시_Modal_split!C$7 * 0.01</f>
        <v>0</v>
      </c>
      <c r="BR99" s="213">
        <f>INDEX($A$95:$H$107,MATCH($L99,$B$95:$B$107,0),MATCH($BQ$94,$A$95:$H$95,0))*고양시_Modal_split!D$7 * 0.01</f>
        <v>5.0619515754560522</v>
      </c>
      <c r="BS99" s="213">
        <f>INDEX($A$95:$H$107,MATCH($L99,$B$95:$B$107,0),MATCH($BQ$94,$A$95:$H$95,0))*고양시_Modal_split!E$7 * 0.01</f>
        <v>0.24698490878938636</v>
      </c>
      <c r="BT99" s="213">
        <f>INDEX($A$95:$H$107,MATCH($L99,$B$95:$B$107,0),MATCH($BQ$94,$A$95:$H$95,0))*고양시_Modal_split!F$7 * 0.01</f>
        <v>8.260364842454393E-2</v>
      </c>
      <c r="BU99" s="213">
        <f>INDEX($A$95:$H$107,MATCH($L99,$B$95:$B$107,0),MATCH($BQ$94,$A$95:$H$95,0))*고양시_Modal_split!G$7 * 0.01</f>
        <v>3.4693532338308457E-2</v>
      </c>
      <c r="BV99" s="213">
        <f>INDEX($A$95:$H$107,MATCH($L99,$B$95:$B$107,0),MATCH($BQ$94,$A$95:$H$95,0))*고양시_Modal_split!H$7 * 0.01</f>
        <v>0.46175439469320062</v>
      </c>
      <c r="BW99" s="213">
        <f>INDEX($A$95:$H$107,MATCH($L99,$B$95:$B$107,0),MATCH($BQ$94,$A$95:$H$95,0))*고양시_Modal_split!I$7 * 0.01</f>
        <v>1.5422101160862354</v>
      </c>
      <c r="BX99" s="213">
        <f>INDEX($A$95:$H$107,MATCH($L99,$B$95:$B$107,0),MATCH($BQ$94,$A$95:$H$95,0))*고양시_Modal_split!J$7 * 0.01</f>
        <v>1.6520729684908787E-3</v>
      </c>
      <c r="BY99" s="213">
        <f>INDEX($A$95:$H$107,MATCH($L99,$B$95:$B$107,0),MATCH($BQ$94,$A$95:$H$95,0))*고양시_Modal_split!K$7 * 0.01</f>
        <v>0.63604809286898834</v>
      </c>
      <c r="BZ99" s="213">
        <f>INDEX($A$95:$H$107,MATCH($L99,$B$95:$B$107,0),MATCH($BQ$94,$A$95:$H$95,0))*고양시_Modal_split!L$7 * 0.01</f>
        <v>5.7822553897180756E-3</v>
      </c>
      <c r="CA99" s="213">
        <f>INDEX($A$95:$H$107,MATCH($L99,$B$95:$B$107,0),MATCH($BQ$94,$A$95:$H$95,0))*고양시_Modal_split!M$7 * 0.01</f>
        <v>0.15446882255389718</v>
      </c>
      <c r="CB99" s="213">
        <f>INDEX($A$95:$H$107,MATCH($L99,$B$95:$B$107,0),MATCH($BQ$94,$A$95:$H$95,0))*고양시_Modal_split!N$7 * 0.01</f>
        <v>3.221542288557213E-2</v>
      </c>
      <c r="CC99" s="213">
        <f>INDEX($A$95:$H$107,MATCH($L99,$B$95:$B$107,0),MATCH($BQ$94,$A$95:$H$95,0))*고양시_Modal_split!O$7 * 0.01</f>
        <v>0</v>
      </c>
      <c r="CD99" s="213">
        <f>INDEX($A$95:$H$107,MATCH($L99,$B$95:$B$107,0),MATCH($BQ$94,$A$95:$H$95,0))*고양시_Modal_split!P$7 * 0.01</f>
        <v>8.2603648424543934</v>
      </c>
      <c r="CE99" s="218">
        <f t="shared" si="55"/>
        <v>7393.1021892205654</v>
      </c>
      <c r="CF99" s="208">
        <f t="shared" si="36"/>
        <v>10380.808490630179</v>
      </c>
      <c r="CG99" s="208">
        <f t="shared" si="37"/>
        <v>2212.5227854063023</v>
      </c>
      <c r="CH99" s="208">
        <f t="shared" si="38"/>
        <v>567.05256948590352</v>
      </c>
      <c r="CI99" s="208">
        <f t="shared" si="39"/>
        <v>2880.0408518242125</v>
      </c>
      <c r="CJ99" s="208">
        <f t="shared" si="40"/>
        <v>1.8869588723051383</v>
      </c>
      <c r="CK99" s="208">
        <f t="shared" si="41"/>
        <v>977.36187354892195</v>
      </c>
      <c r="CL99" s="208">
        <f t="shared" si="42"/>
        <v>2249.8369184908779</v>
      </c>
      <c r="CM99" s="208">
        <f t="shared" si="43"/>
        <v>5.9412431177446052</v>
      </c>
      <c r="CN99" s="208">
        <f t="shared" si="44"/>
        <v>1257.2410128524048</v>
      </c>
      <c r="CO99" s="208">
        <f t="shared" si="45"/>
        <v>179.70564626865675</v>
      </c>
      <c r="CP99" s="208">
        <f t="shared" si="46"/>
        <v>612.09607172470987</v>
      </c>
      <c r="CQ99" s="208">
        <f t="shared" si="47"/>
        <v>289.40338855721399</v>
      </c>
      <c r="CR99" s="219">
        <f t="shared" si="48"/>
        <v>29007</v>
      </c>
      <c r="CS99" s="225">
        <f t="shared" si="56"/>
        <v>0</v>
      </c>
      <c r="CV99" s="265"/>
      <c r="CW99" s="266" t="s">
        <v>15</v>
      </c>
      <c r="CX99" s="267">
        <f>INDEX($M$94:$Z$107,MATCH($CW99,$L$94:$L$107,0),MATCH(CX$95,$M$95:$Z$95,0))/INDEX(고양시_재차인원!$D$4:$H$35,MATCH("고양시",고양시_재차인원!$B$4:$B$35,0),MATCH('A.일산테크노밸리(859991)_수정'!$CX$94,고양시_재차인원!$D$4:$H$4,0))</f>
        <v>1407.2377936211785</v>
      </c>
      <c r="CY99" s="267">
        <f>INDEX($M$94:$Z$107,MATCH($CW99,$L$94:$L$107,0),MATCH(CY$95,$M$95:$Z$95,0))/INDEX(고양시_재차인원!$K$4:$O$20,MATCH("경기도",고양시_재차인원!$K$4:$K$20,0),MATCH('A.일산테크노밸리(859991)_수정'!CY$95,고양시_재차인원!$K$4:$O$4,0))</f>
        <v>1.1640425866499379E-2</v>
      </c>
      <c r="CZ99" s="267">
        <f>INDEX($M$94:$Z$107,MATCH($CW99,$L$94:$L$107,0),MATCH(CZ$95,$M$95:$Z$95,0))/INDEX(고양시_재차인원!$K$4:$O$20,MATCH("경기도",고양시_재차인원!$K$4:$K$20,0),MATCH('A.일산테크노밸리(859991)_수정'!CZ$95,고양시_재차인원!$K$4:$O$4,0))</f>
        <v>3.2360383908868271</v>
      </c>
      <c r="DA99" s="267">
        <f>INDEX($M$94:$Z$107,MATCH($CW99,$L$94:$L$107,0),MATCH(DA$95,$M$95:$Z$95,0))/INDEX(고양시_재차인원!$K$4:$O$20,MATCH("경기도",고양시_재차인원!$K$4:$K$20,0),MATCH('A.일산테크노밸리(859991)_수정'!DA$95,고양시_재차인원!$K$4:$O$4,0))</f>
        <v>67.472409286898781</v>
      </c>
      <c r="DB99" s="268">
        <f>INDEX($AA$94:$AN$107,MATCH($CW99,$L$94:$L$107,0),MATCH(DB$95,$AA$95:$AN$95,0))/INDEX(고양시_재차인원!$D$4:$H$35,MATCH("고양시",고양시_재차인원!$B$4:$B$35,0),MATCH('A.일산테크노밸리(859991)_수정'!$DB$94,고양시_재차인원!$D$4:$H$4,0))</f>
        <v>5516.4696217494102</v>
      </c>
      <c r="DC99" s="267">
        <f>INDEX($AA$94:$AN$107,MATCH($CW99,$L$94:$L$107,0),MATCH(DC$95,$AA$95:$AN$95,0))/INDEX(고양시_재차인원!$K$4:$O$20,MATCH("경기도",고양시_재차인원!$K$4:$K$20,0),MATCH('A.일산테크노밸리(859991)_수정'!DC$95,고양시_재차인원!$K$4:$O$4,0))</f>
        <v>0</v>
      </c>
      <c r="DD99" s="267">
        <f>INDEX($AA$94:$AN$107,MATCH($CW99,$L$94:$L$107,0),MATCH(DD$95,$AA$95:$AN$95,0))/INDEX(고양시_재차인원!$K$4:$O$20,MATCH("경기도",고양시_재차인원!$K$4:$K$20,0),MATCH('A.일산테크노밸리(859991)_수정'!DD$95,고양시_재차인원!$K$4:$O$4,0))</f>
        <v>29.316961908069935</v>
      </c>
      <c r="DE99" s="267">
        <f>INDEX($AA$94:$AN$107,MATCH($CW99,$L$94:$L$107,0),MATCH(DE$95,$AA$95:$AN$95,0))/INDEX(고양시_재차인원!$K$4:$O$20,MATCH("경기도",고양시_재차인원!$K$4:$K$20,0),MATCH('A.일산테크노밸리(859991)_수정'!DE$95,고양시_재차인원!$K$4:$O$4,0))</f>
        <v>747.01977777777802</v>
      </c>
      <c r="DF99" s="268">
        <f>INDEX($AO$94:$BB$107,MATCH($CW99,$L$94:$L$107,0),MATCH(DF$95,$AO$95:$BB$95,0))/INDEX(고양시_재차인원!$D$4:$H$35,MATCH("고양시",고양시_재차인원!$B$4:$B$35,0),MATCH('A.일산테크노밸리(859991)_수정'!$DF$94,고양시_재차인원!$D$4:$H$4,0))</f>
        <v>784.31334404898439</v>
      </c>
      <c r="DG99" s="267">
        <f>INDEX($AO$94:$BB$107,MATCH($CW99,$L$94:$L$107,0),MATCH(DG$95,$AO$95:$BB$95,0))/INDEX(고양시_재차인원!$K$4:$O$20,MATCH("경기도",고양시_재차인원!$K$4:$K$20,0),MATCH('A.일산테크노밸리(859991)_수정'!DG$95,고양시_재차인원!$K$4:$O$4,0))</f>
        <v>3.383014590126817E-2</v>
      </c>
      <c r="DH99" s="267">
        <f>INDEX($AO$94:$BB$107,MATCH($CW99,$L$94:$L$107,0),MATCH(DH$95,$AO$95:$BB$95,0))/INDEX(고양시_재차인원!$K$4:$O$20,MATCH("경기도",고양시_재차인원!$K$4:$K$20,0),MATCH('A.일산테크노밸리(859991)_수정'!DH$95,고양시_재차인원!$K$4:$O$4,0))</f>
        <v>1.3387072020930404</v>
      </c>
      <c r="DI99" s="267">
        <f>INDEX($AO$94:$BB$107,MATCH($CW99,$L$94:$L$107,0),MATCH(DI$95,$AO$95:$BB$95,0))/INDEX(고양시_재차인원!$K$4:$O$20,MATCH("경기도",고양시_재차인원!$K$4:$K$20,0),MATCH('A.일산테크노밸리(859991)_수정'!DI$95,고양시_재차인원!$K$4:$O$4,0))</f>
        <v>23.653554726368114</v>
      </c>
      <c r="DJ99" s="268">
        <f>INDEX($BC$94:$BP$107,MATCH($CW99,$L$94:$L$107,0),MATCH(DJ$95,$BC$95:$BP$95,0))/INDEX(고양시_재차인원!$D$4:$H$35,MATCH("고양시",고양시_재차인원!$B$4:$B$35,0),MATCH('A.일산테크노밸리(859991)_수정'!$DJ$94,고양시_재차인원!$D$4:$H$4,0))</f>
        <v>1.3313943151887568</v>
      </c>
      <c r="DK99" s="267">
        <f>INDEX($BC$94:$BP$107,MATCH($CW99,$L$94:$L$107,0),MATCH(DK$95,$BC$95:$BP$95,0))/INDEX(고양시_재차인원!$K$4:$O$20,MATCH("경기도",고양시_재차인원!$K$4:$K$20,0),MATCH('A.일산테크노밸리(859991)_수정'!DK$95,고양시_재차인원!$K$4:$O$4,0))</f>
        <v>4.0328835157315054E-3</v>
      </c>
      <c r="DL99" s="267">
        <f>INDEX($BC$94:$BP$107,MATCH($CW99,$L$94:$L$107,0),MATCH(DL$95,$BC$95:$BP$95,0))/INDEX(고양시_재차인원!$K$4:$O$20,MATCH("경기도",고양시_재차인원!$K$4:$K$20,0),MATCH('A.일산테크노밸리(859991)_수정'!DL$95,고양시_재차인원!$K$4:$O$4,0))</f>
        <v>2.6885890104876697E-3</v>
      </c>
      <c r="DM99" s="267">
        <f>INDEX($BC$94:$BP$107,MATCH($CW99,$L$94:$L$107,0),MATCH(DM$95,$BC$95:$BP$95,0))/INDEX(고양시_재차인원!$K$4:$O$20,MATCH("경기도",고양시_재차인원!$K$4:$K$20,0),MATCH('A.일산테크노밸리(859991)_수정'!DM$95,고양시_재차인원!$K$4:$O$4,0))</f>
        <v>1.1078606965174086E-2</v>
      </c>
      <c r="DN99" s="268">
        <f>INDEX($BQ$94:$CD$107,MATCH($CW99,$L$94:$L$107,0),MATCH(DN$95,$BQ$95:$CD$95,0))/INDEX(고양시_재차인원!$D$4:$H$35,MATCH("고양시",고양시_재차인원!$B$4:$B$35,0),MATCH('A.일산테크노밸리(859991)_수정'!$DN$94,고양시_재차인원!$D$4:$H$4,0))</f>
        <v>4.0174218852825812</v>
      </c>
      <c r="DO99" s="267">
        <f>INDEX($BQ$94:$CD$107,MATCH($CW99,$L$94:$L$107,0),MATCH(DO$95,$BQ$95:$CD$95,0))/INDEX(고양시_재차인원!$K$4:$O$20,MATCH("경기도",고양시_재차인원!$K$4:$K$20,0),MATCH('A.일산테크노밸리(859991)_수정'!DO$95,고양시_재차인원!$K$4:$O$4,0))</f>
        <v>1.6038707700354312E-2</v>
      </c>
      <c r="DP99" s="267">
        <f>INDEX($BQ$94:$CD$107,MATCH($CW99,$L$94:$L$107,0),MATCH(DP$95,$BQ$95:$CD$95,0))/INDEX(고양시_재차인원!$K$4:$O$20,MATCH("경기도",고양시_재차인원!$K$4:$K$20,0),MATCH('A.일산테크노밸리(859991)_수정'!DP$95,고양시_재차인원!$K$4:$O$4,0))</f>
        <v>5.3567562212095708E-2</v>
      </c>
      <c r="DQ99" s="267">
        <f>INDEX($BQ$94:$CD$107,MATCH($CW99,$L$94:$L$107,0),MATCH(DQ$95,$BQ$95:$CD$95,0))/INDEX(고양시_재차인원!$K$4:$O$20,MATCH("경기도",고양시_재차인원!$K$4:$K$20,0),MATCH('A.일산테크노밸리(859991)_수정'!DQ$95,고양시_재차인원!$K$4:$O$4,0))</f>
        <v>3.854836926478717E-3</v>
      </c>
      <c r="DR99" s="269">
        <f t="shared" si="57"/>
        <v>7713.369575620045</v>
      </c>
      <c r="DS99" s="270">
        <f t="shared" si="49"/>
        <v>6.5542162983853361E-2</v>
      </c>
      <c r="DT99" s="270">
        <f t="shared" si="50"/>
        <v>33.947963652272385</v>
      </c>
      <c r="DU99" s="270">
        <f t="shared" si="51"/>
        <v>838.16067523493666</v>
      </c>
      <c r="DW99" s="278"/>
      <c r="DX99" s="278" t="s">
        <v>595</v>
      </c>
      <c r="DY99" s="281">
        <f t="shared" si="58"/>
        <v>8551.5302508549812</v>
      </c>
      <c r="DZ99" s="281">
        <f t="shared" si="59"/>
        <v>34.013505815256238</v>
      </c>
      <c r="EC99" s="412" t="s">
        <v>14</v>
      </c>
      <c r="ED99" s="412" t="s">
        <v>79</v>
      </c>
      <c r="EE99" s="412">
        <v>7192.9411</v>
      </c>
      <c r="EF99" s="412">
        <v>0.56870722672698226</v>
      </c>
      <c r="EG99" s="413">
        <v>859005</v>
      </c>
      <c r="EH99" s="414">
        <f t="shared" si="52"/>
        <v>150.69824597271275</v>
      </c>
      <c r="EI99" s="415">
        <f t="shared" si="53"/>
        <v>0.59939864742094628</v>
      </c>
      <c r="EJ99" s="402">
        <v>0</v>
      </c>
      <c r="EM99" s="278" t="s">
        <v>14</v>
      </c>
      <c r="EN99" s="278" t="s">
        <v>79</v>
      </c>
      <c r="EO99" s="278">
        <v>7192.9411</v>
      </c>
      <c r="EP99" s="278">
        <v>0.56870722672698226</v>
      </c>
      <c r="EQ99" s="289">
        <v>859005</v>
      </c>
      <c r="ER99" s="290">
        <f t="shared" si="34"/>
        <v>150.69824597271275</v>
      </c>
      <c r="ES99" s="291">
        <f t="shared" si="35"/>
        <v>0.59939864742094628</v>
      </c>
      <c r="ET99" s="402">
        <v>0</v>
      </c>
      <c r="EV99" s="34"/>
      <c r="EW99" s="34"/>
      <c r="EX99" s="34"/>
      <c r="EY99" s="34"/>
      <c r="EZ99" s="378"/>
      <c r="FA99" s="401"/>
      <c r="FB99" s="402"/>
      <c r="FC99" s="402"/>
    </row>
    <row r="100" spans="1:159" ht="17.149999999999999" customHeight="1">
      <c r="A100" s="205"/>
      <c r="B100" s="205" t="s">
        <v>16</v>
      </c>
      <c r="C100" s="400">
        <f>'A.일산테크노밸리(859991)_수정'!$P32*KTDB_TripDistribution_2025!T$12</f>
        <v>363.23714759535619</v>
      </c>
      <c r="D100" s="400">
        <f>'A.일산테크노밸리(859991)_수정'!$P32*KTDB_TripDistribution_2025!U$12</f>
        <v>2628.8215488215496</v>
      </c>
      <c r="E100" s="400">
        <f>'A.일산테크노밸리(859991)_수정'!$P32*KTDB_TripDistribution_2025!V$12</f>
        <v>150.80898537614925</v>
      </c>
      <c r="F100" s="400">
        <f>'A.일산테크노밸리(859991)_수정'!$P32*KTDB_TripDistribution_2025!W$12</f>
        <v>0.23699683401175847</v>
      </c>
      <c r="G100" s="400">
        <f>'A.일산테크노밸리(859991)_수정'!$P32*KTDB_TripDistribution_2025!X$12</f>
        <v>0.89532137293331304</v>
      </c>
      <c r="H100" s="400">
        <f>'A.일산테크노밸리(859991)_수정'!$P32*KTDB_TripDistribution_2025!Y$12</f>
        <v>3144.0000000000009</v>
      </c>
      <c r="J100" s="230">
        <f t="shared" si="54"/>
        <v>3144.0000000000005</v>
      </c>
      <c r="K100" s="206"/>
      <c r="L100" s="209" t="s">
        <v>16</v>
      </c>
      <c r="M100" s="213">
        <f>INDEX($A$95:$H$107,MATCH($L100,$B$95:$B$107,0),MATCH($M$94,$A$95:$H$95,0))*고양시_Modal_split!C$3 * 0.01</f>
        <v>1.0170640132669972</v>
      </c>
      <c r="N100" s="213">
        <f>INDEX($A$95:$H$107,MATCH($L100,$B$95:$B$107,0),MATCH($M$94,$A$95:$H$95,0))*고양시_Modal_split!D$3 * 0.01</f>
        <v>170.83043051409601</v>
      </c>
      <c r="O100" s="213">
        <f>INDEX($A$95:$H$107,MATCH($L100,$B$95:$B$107,0),MATCH($M$94,$A$95:$H$95,0))*고양시_Modal_split!E$3 * 0.01</f>
        <v>20.668193698175767</v>
      </c>
      <c r="P100" s="213">
        <f>INDEX($A$95:$H$107,MATCH($L100,$B$95:$B$107,0),MATCH($M$94,$A$95:$H$95,0))*고양시_Modal_split!F$3 * 0.01</f>
        <v>33.308846434494164</v>
      </c>
      <c r="Q100" s="213">
        <f>INDEX($A$95:$H$107,MATCH($L100,$B$95:$B$107,0),MATCH($M$94,$A$95:$H$95,0))*고양시_Modal_split!G$3 * 0.01</f>
        <v>3.341781757877277</v>
      </c>
      <c r="R100" s="213">
        <f>INDEX($A$95:$H$107,MATCH($L100,$B$95:$B$107,0),MATCH($M$94,$A$95:$H$95,0))*고양시_Modal_split!H$3 * 0.01</f>
        <v>3.6323714759535622E-2</v>
      </c>
      <c r="S100" s="213">
        <f>INDEX($A$95:$H$107,MATCH($L100,$B$95:$B$107,0),MATCH($M$94,$A$95:$H$95,0))*고양시_Modal_split!I$3 * 0.01</f>
        <v>10.097992703150901</v>
      </c>
      <c r="T100" s="213">
        <f>INDEX($A$95:$H$107,MATCH($L100,$B$95:$B$107,0),MATCH($M$94,$A$95:$H$95,0))*고양시_Modal_split!J$3 * 0.01</f>
        <v>110.56938772802643</v>
      </c>
      <c r="U100" s="213">
        <f>INDEX($A$95:$H$107,MATCH($L100,$B$95:$B$107,0),MATCH($M$94,$A$95:$H$95,0))*고양시_Modal_split!K$3 * 0.01</f>
        <v>0.54485572139303429</v>
      </c>
      <c r="V100" s="213">
        <f>INDEX($A$95:$H$107,MATCH($L100,$B$95:$B$107,0),MATCH($M$94,$A$95:$H$95,0))*고양시_Modal_split!L$3 * 0.01</f>
        <v>10.969761857379758</v>
      </c>
      <c r="W100" s="213">
        <f>INDEX($A$95:$H$107,MATCH($L100,$B$95:$B$107,0),MATCH($M$94,$A$95:$H$95,0))*고양시_Modal_split!M$3 * 0.01</f>
        <v>0.83544543946931926</v>
      </c>
      <c r="X100" s="213">
        <f>INDEX($A$95:$H$107,MATCH($L100,$B$95:$B$107,0),MATCH($M$94,$A$95:$H$95,0))*고양시_Modal_split!N$3 * 0.01</f>
        <v>0.36323714759535619</v>
      </c>
      <c r="Y100" s="213">
        <f>INDEX($A$95:$H$107,MATCH($L100,$B$95:$B$107,0),MATCH($M$94,$A$95:$H$95,0))*고양시_Modal_split!O$3 * 0.01</f>
        <v>0.65382686567164117</v>
      </c>
      <c r="Z100" s="213">
        <f>INDEX($A$95:$H$107,MATCH($L100,$B$95:$B$107,0),MATCH($M$94,$A$95:$H$95,0))*고양시_Modal_split!P$3 * 0.01</f>
        <v>363.23714759535625</v>
      </c>
      <c r="AA100" s="213">
        <f>INDEX($A$95:$H$107,MATCH($L100,$B$95:$B$107,0),MATCH($AA$94,$A$95:$H$95,0))*고양시_Modal_split!C$4 * 0.01</f>
        <v>800.21327946127974</v>
      </c>
      <c r="AB100" s="213">
        <f>INDEX($A$95:$H$107,MATCH($L100,$B$95:$B$107,0),MATCH($AA$94,$A$95:$H$95,0))*고양시_Modal_split!D$4 * 0.01</f>
        <v>843.06307070707101</v>
      </c>
      <c r="AC100" s="213">
        <f>INDEX($A$95:$H$107,MATCH($L100,$B$95:$B$107,0),MATCH($AA$94,$A$95:$H$95,0))*고양시_Modal_split!E$4 * 0.01</f>
        <v>204.25943434343441</v>
      </c>
      <c r="AD100" s="213">
        <f>INDEX($A$95:$H$107,MATCH($L100,$B$95:$B$107,0),MATCH($AA$94,$A$95:$H$95,0))*고양시_Modal_split!F$4 * 0.01</f>
        <v>24.973804713804721</v>
      </c>
      <c r="AE100" s="213">
        <f>INDEX($A$95:$H$107,MATCH($L100,$B$95:$B$107,0),MATCH($AA$94,$A$95:$H$95,0))*고양시_Modal_split!G$4 * 0.01</f>
        <v>307.83500336700348</v>
      </c>
      <c r="AF100" s="213">
        <f>INDEX($A$95:$H$107,MATCH($L100,$B$95:$B$107,0),MATCH($AA$94,$A$95:$H$95,0))*고양시_Modal_split!H$4 * 0.01</f>
        <v>0</v>
      </c>
      <c r="AG100" s="213">
        <f>INDEX($A$95:$H$107,MATCH($L100,$B$95:$B$107,0),MATCH($AA$94,$A$95:$H$95,0))*고양시_Modal_split!I$4 * 0.01</f>
        <v>91.482989898989914</v>
      </c>
      <c r="AH100" s="213">
        <f>INDEX($A$95:$H$107,MATCH($L100,$B$95:$B$107,0),MATCH($AA$94,$A$95:$H$95,0))*고양시_Modal_split!J$4 * 0.01</f>
        <v>123.817494949495</v>
      </c>
      <c r="AI100" s="213">
        <f>INDEX($A$95:$H$107,MATCH($L100,$B$95:$B$107,0),MATCH($AA$94,$A$95:$H$95,0))*고양시_Modal_split!K$4 * 0.01</f>
        <v>0</v>
      </c>
      <c r="AJ100" s="213">
        <f>INDEX($A$95:$H$107,MATCH($L100,$B$95:$B$107,0),MATCH($AA$94,$A$95:$H$95,0))*고양시_Modal_split!L$4 * 0.01</f>
        <v>121.45155555555559</v>
      </c>
      <c r="AK100" s="213">
        <f>INDEX($A$95:$H$107,MATCH($L100,$B$95:$B$107,0),MATCH($AA$94,$A$95:$H$95,0))*고양시_Modal_split!M$4 * 0.01</f>
        <v>17.613104377104385</v>
      </c>
      <c r="AL100" s="213">
        <f>INDEX($A$95:$H$107,MATCH($L100,$B$95:$B$107,0),MATCH($AA$94,$A$95:$H$95,0))*고양시_Modal_split!N$4 * 0.01</f>
        <v>65.720538720538741</v>
      </c>
      <c r="AM100" s="213">
        <f>INDEX($A$95:$H$107,MATCH($L100,$B$95:$B$107,0),MATCH($AA$94,$A$95:$H$95,0))*고양시_Modal_split!O$4 * 0.01</f>
        <v>28.391272727272739</v>
      </c>
      <c r="AN100" s="213">
        <f>INDEX($A$95:$H$107,MATCH($L100,$B$95:$B$107,0),MATCH($AA$94,$A$95:$H$95,0))*고양시_Modal_split!P$4 * 0.01</f>
        <v>2628.8215488215496</v>
      </c>
      <c r="AO100" s="213">
        <f>INDEX($A$95:$H$107,MATCH($L100,$B$95:$B$107,0),MATCH($AO$94,$A$95:$H$95,0))*고양시_Modal_split!C$5 * 0.01</f>
        <v>9.0485391225689535E-2</v>
      </c>
      <c r="AP100" s="213">
        <f>INDEX($A$95:$H$107,MATCH($L100,$B$95:$B$107,0),MATCH($AO$94,$A$95:$H$95,0))*고양시_Modal_split!D$5 * 0.01</f>
        <v>110.51282448364218</v>
      </c>
      <c r="AQ100" s="213">
        <f>INDEX($A$95:$H$107,MATCH($L100,$B$95:$B$107,0),MATCH($AO$94,$A$95:$H$95,0))*고양시_Modal_split!E$5 * 0.01</f>
        <v>14.8546850595507</v>
      </c>
      <c r="AR100" s="213">
        <f>INDEX($A$95:$H$107,MATCH($L100,$B$95:$B$107,0),MATCH($AO$94,$A$95:$H$95,0))*고양시_Modal_split!F$5 * 0.01</f>
        <v>3.1669886928991344</v>
      </c>
      <c r="AS100" s="213">
        <f>INDEX($A$95:$H$107,MATCH($L100,$B$95:$B$107,0),MATCH($AO$94,$A$95:$H$95,0))*고양시_Modal_split!G$5 * 0.01</f>
        <v>0.98025840494497019</v>
      </c>
      <c r="AT100" s="213">
        <f>INDEX($A$95:$H$107,MATCH($L100,$B$95:$B$107,0),MATCH($AO$94,$A$95:$H$95,0))*고양시_Modal_split!H$5 * 0.01</f>
        <v>0.10556628976330446</v>
      </c>
      <c r="AU100" s="213">
        <f>INDEX($A$95:$H$107,MATCH($L100,$B$95:$B$107,0),MATCH($AO$94,$A$95:$H$95,0))*고양시_Modal_split!I$5 * 0.01</f>
        <v>4.1774088949193349</v>
      </c>
      <c r="AV100" s="213">
        <f>INDEX($A$95:$H$107,MATCH($L100,$B$95:$B$107,0),MATCH($AO$94,$A$95:$H$95,0))*고양시_Modal_split!J$5 * 0.01</f>
        <v>9.4557233830845586</v>
      </c>
      <c r="AW100" s="213">
        <f>INDEX($A$95:$H$107,MATCH($L100,$B$95:$B$107,0),MATCH($AO$94,$A$95:$H$95,0))*고양시_Modal_split!K$5 * 0.01</f>
        <v>3.0161797075229854E-2</v>
      </c>
      <c r="AX100" s="213">
        <f>INDEX($A$95:$H$107,MATCH($L100,$B$95:$B$107,0),MATCH($AO$94,$A$95:$H$95,0))*고양시_Modal_split!L$5 * 0.01</f>
        <v>3.8456291270918057</v>
      </c>
      <c r="AY100" s="213">
        <f>INDEX($A$95:$H$107,MATCH($L100,$B$95:$B$107,0),MATCH($AO$94,$A$95:$H$95,0))*고양시_Modal_split!M$5 * 0.01</f>
        <v>1.0104202020202</v>
      </c>
      <c r="AZ100" s="213">
        <f>INDEX($A$95:$H$107,MATCH($L100,$B$95:$B$107,0),MATCH($AO$94,$A$95:$H$95,0))*고양시_Modal_split!N$5 * 0.01</f>
        <v>0.25637527513945374</v>
      </c>
      <c r="BA100" s="213">
        <f>INDEX($A$95:$H$107,MATCH($L100,$B$95:$B$107,0),MATCH($AO$94,$A$95:$H$95,0))*고양시_Modal_split!O$5 * 0.01</f>
        <v>2.3224583747926988</v>
      </c>
      <c r="BB100" s="213">
        <f>INDEX($A$95:$H$107,MATCH($L100,$B$95:$B$107,0),MATCH($AO$94,$A$95:$H$95,0))*고양시_Modal_split!P$5 * 0.01</f>
        <v>150.80898537614922</v>
      </c>
      <c r="BC100" s="213">
        <f>INDEX($A$95:$H$107,MATCH($L100,$B$95:$B$107,0),MATCH($BC$94,$A$95:$H$95,0))*고양시_Modal_split!C$6 * 0.01</f>
        <v>0</v>
      </c>
      <c r="BD100" s="207">
        <f>INDEX($A$95:$H$107,MATCH($L100,$B$95:$B$107,0),MATCH($BC$94,$A$95:$H$95,0))*고양시_Modal_split!D$6 * 0.01</f>
        <v>0.19625707824513719</v>
      </c>
      <c r="BE100" s="207">
        <f>INDEX($A$95:$H$107,MATCH($L100,$B$95:$B$107,0),MATCH($BC$94,$A$95:$H$95,0))*고양시_Modal_split!E$6 * 0.01</f>
        <v>1.0190863862505615E-3</v>
      </c>
      <c r="BF100" s="207">
        <f>INDEX($A$95:$H$107,MATCH($L100,$B$95:$B$107,0),MATCH($BC$94,$A$95:$H$95,0))*고양시_Modal_split!F$6 * 0.01</f>
        <v>2.8913613749434537E-3</v>
      </c>
      <c r="BG100" s="207">
        <f>INDEX($A$95:$H$107,MATCH($L100,$B$95:$B$107,0),MATCH($BC$94,$A$95:$H$95,0))*고양시_Modal_split!G$6 * 0.01</f>
        <v>0</v>
      </c>
      <c r="BH100" s="207">
        <f>INDEX($A$95:$H$107,MATCH($L100,$B$95:$B$107,0),MATCH($BC$94,$A$95:$H$95,0))*고양시_Modal_split!H$6 * 0.01</f>
        <v>1.2584531886024377E-2</v>
      </c>
      <c r="BI100" s="207">
        <f>INDEX($A$95:$H$107,MATCH($L100,$B$95:$B$107,0),MATCH($BC$94,$A$95:$H$95,0))*고양시_Modal_split!I$6 * 0.01</f>
        <v>8.3896879240162505E-3</v>
      </c>
      <c r="BJ100" s="207">
        <f>INDEX($A$95:$H$107,MATCH($L100,$B$95:$B$107,0),MATCH($BC$94,$A$95:$H$95,0))*고양시_Modal_split!J$6 * 0.01</f>
        <v>1.1707643600180869E-2</v>
      </c>
      <c r="BK100" s="207">
        <f>INDEX($A$95:$H$107,MATCH($L100,$B$95:$B$107,0),MATCH($BC$94,$A$95:$H$95,0))*고양시_Modal_split!K$6 * 0.01</f>
        <v>0</v>
      </c>
      <c r="BL100" s="207">
        <f>INDEX($A$95:$H$107,MATCH($L100,$B$95:$B$107,0),MATCH($BC$94,$A$95:$H$95,0))*고양시_Modal_split!L$6 * 0.01</f>
        <v>1.8011759384893645E-3</v>
      </c>
      <c r="BM100" s="207">
        <f>INDEX($A$95:$H$107,MATCH($L100,$B$95:$B$107,0),MATCH($BC$94,$A$95:$H$95,0))*고양시_Modal_split!M$6 * 0.01</f>
        <v>2.1566711895070023E-3</v>
      </c>
      <c r="BN100" s="207">
        <f>INDEX($A$95:$H$107,MATCH($L100,$B$95:$B$107,0),MATCH($BC$94,$A$95:$H$95,0))*고양시_Modal_split!N$6 * 0.01</f>
        <v>0</v>
      </c>
      <c r="BO100" s="207">
        <f>INDEX($A$95:$H$107,MATCH($L100,$B$95:$B$107,0),MATCH($BC$94,$A$95:$H$95,0))*고양시_Modal_split!O$6 * 0.01</f>
        <v>1.8959746720940678E-4</v>
      </c>
      <c r="BP100" s="214">
        <f>INDEX($A$95:$H$107,MATCH($L100,$B$95:$B$107,0),MATCH($BC$94,$A$95:$H$95,0))*고양시_Modal_split!P$6 * 0.01</f>
        <v>0.23699683401175847</v>
      </c>
      <c r="BQ100" s="213">
        <f>INDEX($A$95:$H$107,MATCH($L100,$B$95:$B$107,0),MATCH($BQ$94,$A$95:$H$95,0))*고양시_Modal_split!C$7 * 0.01</f>
        <v>0</v>
      </c>
      <c r="BR100" s="213">
        <f>INDEX($A$95:$H$107,MATCH($L100,$B$95:$B$107,0),MATCH($BQ$94,$A$95:$H$95,0))*고양시_Modal_split!D$7 * 0.01</f>
        <v>0.54865293733353426</v>
      </c>
      <c r="BS100" s="213">
        <f>INDEX($A$95:$H$107,MATCH($L100,$B$95:$B$107,0),MATCH($BQ$94,$A$95:$H$95,0))*고양시_Modal_split!E$7 * 0.01</f>
        <v>2.6770109050706058E-2</v>
      </c>
      <c r="BT100" s="213">
        <f>INDEX($A$95:$H$107,MATCH($L100,$B$95:$B$107,0),MATCH($BQ$94,$A$95:$H$95,0))*고양시_Modal_split!F$7 * 0.01</f>
        <v>8.9532137293331301E-3</v>
      </c>
      <c r="BU100" s="213">
        <f>INDEX($A$95:$H$107,MATCH($L100,$B$95:$B$107,0),MATCH($BQ$94,$A$95:$H$95,0))*고양시_Modal_split!G$7 * 0.01</f>
        <v>3.7603497663199147E-3</v>
      </c>
      <c r="BV100" s="213">
        <f>INDEX($A$95:$H$107,MATCH($L100,$B$95:$B$107,0),MATCH($BQ$94,$A$95:$H$95,0))*고양시_Modal_split!H$7 * 0.01</f>
        <v>5.00484647469722E-2</v>
      </c>
      <c r="BW100" s="213">
        <f>INDEX($A$95:$H$107,MATCH($L100,$B$95:$B$107,0),MATCH($BQ$94,$A$95:$H$95,0))*고양시_Modal_split!I$7 * 0.01</f>
        <v>0.16715650032664958</v>
      </c>
      <c r="BX100" s="213">
        <f>INDEX($A$95:$H$107,MATCH($L100,$B$95:$B$107,0),MATCH($BQ$94,$A$95:$H$95,0))*고양시_Modal_split!J$7 * 0.01</f>
        <v>1.7906427458666262E-4</v>
      </c>
      <c r="BY100" s="213">
        <f>INDEX($A$95:$H$107,MATCH($L100,$B$95:$B$107,0),MATCH($BQ$94,$A$95:$H$95,0))*고양시_Modal_split!K$7 * 0.01</f>
        <v>6.8939745715865114E-2</v>
      </c>
      <c r="BZ100" s="213">
        <f>INDEX($A$95:$H$107,MATCH($L100,$B$95:$B$107,0),MATCH($BQ$94,$A$95:$H$95,0))*고양시_Modal_split!L$7 * 0.01</f>
        <v>6.2672496105331901E-4</v>
      </c>
      <c r="CA100" s="213">
        <f>INDEX($A$95:$H$107,MATCH($L100,$B$95:$B$107,0),MATCH($BQ$94,$A$95:$H$95,0))*고양시_Modal_split!M$7 * 0.01</f>
        <v>1.6742509673852955E-2</v>
      </c>
      <c r="CB100" s="213">
        <f>INDEX($A$95:$H$107,MATCH($L100,$B$95:$B$107,0),MATCH($BQ$94,$A$95:$H$95,0))*고양시_Modal_split!N$7 * 0.01</f>
        <v>3.4917533544399203E-3</v>
      </c>
      <c r="CC100" s="213">
        <f>INDEX($A$95:$H$107,MATCH($L100,$B$95:$B$107,0),MATCH($BQ$94,$A$95:$H$95,0))*고양시_Modal_split!O$7 * 0.01</f>
        <v>0</v>
      </c>
      <c r="CD100" s="213">
        <f>INDEX($A$95:$H$107,MATCH($L100,$B$95:$B$107,0),MATCH($BQ$94,$A$95:$H$95,0))*고양시_Modal_split!P$7 * 0.01</f>
        <v>0.89532137293331304</v>
      </c>
      <c r="CE100" s="218">
        <f t="shared" si="55"/>
        <v>801.32082886577246</v>
      </c>
      <c r="CF100" s="208">
        <f t="shared" si="36"/>
        <v>1125.1512357203878</v>
      </c>
      <c r="CG100" s="208">
        <f t="shared" si="37"/>
        <v>239.81010229659785</v>
      </c>
      <c r="CH100" s="208">
        <f t="shared" si="38"/>
        <v>61.461484416302291</v>
      </c>
      <c r="CI100" s="208">
        <f t="shared" si="39"/>
        <v>312.16080387959204</v>
      </c>
      <c r="CJ100" s="208">
        <f t="shared" si="40"/>
        <v>0.20452300115583663</v>
      </c>
      <c r="CK100" s="208">
        <f t="shared" si="41"/>
        <v>105.93393768531082</v>
      </c>
      <c r="CL100" s="208">
        <f t="shared" si="42"/>
        <v>243.85449276848075</v>
      </c>
      <c r="CM100" s="208">
        <f t="shared" si="43"/>
        <v>0.64395726418412924</v>
      </c>
      <c r="CN100" s="208">
        <f t="shared" si="44"/>
        <v>136.26937444092667</v>
      </c>
      <c r="CO100" s="208">
        <f t="shared" si="45"/>
        <v>19.477869199457263</v>
      </c>
      <c r="CP100" s="208">
        <f t="shared" si="46"/>
        <v>66.343642896627983</v>
      </c>
      <c r="CQ100" s="208">
        <f t="shared" si="47"/>
        <v>31.367747565204287</v>
      </c>
      <c r="CR100" s="219">
        <f t="shared" si="48"/>
        <v>3144.0000000000005</v>
      </c>
      <c r="CS100" s="225">
        <f t="shared" si="56"/>
        <v>0</v>
      </c>
      <c r="CV100" s="265"/>
      <c r="CW100" s="266" t="s">
        <v>16</v>
      </c>
      <c r="CX100" s="267">
        <f>INDEX($M$94:$Z$107,MATCH($CW100,$L$94:$L$107,0),MATCH(CX$95,$M$95:$Z$95,0))/INDEX(고양시_재차인원!$D$4:$H$35,MATCH("고양시",고양시_재차인원!$B$4:$B$35,0),MATCH('A.일산테크노밸리(859991)_수정'!$CX$94,고양시_재차인원!$D$4:$H$4,0))</f>
        <v>152.52717010187143</v>
      </c>
      <c r="CY100" s="267">
        <f>INDEX($M$94:$Z$107,MATCH($CW100,$L$94:$L$107,0),MATCH(CY$95,$M$95:$Z$95,0))/INDEX(고양시_재차인원!$K$4:$O$20,MATCH("경기도",고양시_재차인원!$K$4:$K$20,0),MATCH('A.일산테크노밸리(859991)_수정'!CY$95,고양시_재차인원!$K$4:$O$4,0))</f>
        <v>1.2616781785180834E-3</v>
      </c>
      <c r="CZ100" s="267">
        <f>INDEX($M$94:$Z$107,MATCH($CW100,$L$94:$L$107,0),MATCH(CZ$95,$M$95:$Z$95,0))/INDEX(고양시_재차인원!$K$4:$O$20,MATCH("경기도",고양시_재차인원!$K$4:$K$20,0),MATCH('A.일산테크노밸리(859991)_수정'!CZ$95,고양시_재차인원!$K$4:$O$4,0))</f>
        <v>0.3507465336280271</v>
      </c>
      <c r="DA100" s="267">
        <f>INDEX($M$94:$Z$107,MATCH($CW100,$L$94:$L$107,0),MATCH(DA$95,$M$95:$Z$95,0))/INDEX(고양시_재차인원!$K$4:$O$20,MATCH("경기도",고양시_재차인원!$K$4:$K$20,0),MATCH('A.일산테크노밸리(859991)_수정'!DA$95,고양시_재차인원!$K$4:$O$4,0))</f>
        <v>7.3131745715865053</v>
      </c>
      <c r="DB100" s="268">
        <f>INDEX($AA$94:$AN$107,MATCH($CW100,$L$94:$L$107,0),MATCH(DB$95,$AA$95:$AN$95,0))/INDEX(고양시_재차인원!$D$4:$H$35,MATCH("고양시",고양시_재차인원!$B$4:$B$35,0),MATCH('A.일산테크노밸리(859991)_수정'!$DB$94,고양시_재차인원!$D$4:$H$4,0))</f>
        <v>597.91707142345467</v>
      </c>
      <c r="DC100" s="267">
        <f>INDEX($AA$94:$AN$107,MATCH($CW100,$L$94:$L$107,0),MATCH(DC$95,$AA$95:$AN$95,0))/INDEX(고양시_재차인원!$K$4:$O$20,MATCH("경기도",고양시_재차인원!$K$4:$K$20,0),MATCH('A.일산테크노밸리(859991)_수정'!DC$95,고양시_재차인원!$K$4:$O$4,0))</f>
        <v>0</v>
      </c>
      <c r="DD100" s="267">
        <f>INDEX($AA$94:$AN$107,MATCH($CW100,$L$94:$L$107,0),MATCH(DD$95,$AA$95:$AN$95,0))/INDEX(고양시_재차인원!$K$4:$O$20,MATCH("경기도",고양시_재차인원!$K$4:$K$20,0),MATCH('A.일산테크노밸리(859991)_수정'!DD$95,고양시_재차인원!$K$4:$O$4,0))</f>
        <v>3.177596036783255</v>
      </c>
      <c r="DE100" s="267">
        <f>INDEX($AA$94:$AN$107,MATCH($CW100,$L$94:$L$107,0),MATCH(DE$95,$AA$95:$AN$95,0))/INDEX(고양시_재차인원!$K$4:$O$20,MATCH("경기도",고양시_재차인원!$K$4:$K$20,0),MATCH('A.일산테크노밸리(859991)_수정'!DE$95,고양시_재차인원!$K$4:$O$4,0))</f>
        <v>80.967703703703719</v>
      </c>
      <c r="DF100" s="268">
        <f>INDEX($AO$94:$BB$107,MATCH($CW100,$L$94:$L$107,0),MATCH(DF$95,$AO$95:$BB$95,0))/INDEX(고양시_재차인원!$D$4:$H$35,MATCH("고양시",고양시_재차인원!$B$4:$B$35,0),MATCH('A.일산테크노밸리(859991)_수정'!$DF$94,고양시_재차인원!$D$4:$H$4,0))</f>
        <v>85.00986498741706</v>
      </c>
      <c r="DG100" s="267">
        <f>INDEX($AO$94:$BB$107,MATCH($CW100,$L$94:$L$107,0),MATCH(DG$95,$AO$95:$BB$95,0))/INDEX(고양시_재차인원!$K$4:$O$20,MATCH("경기도",고양시_재차인원!$K$4:$K$20,0),MATCH('A.일산테크노밸리(859991)_수정'!DG$95,고양시_재차인원!$K$4:$O$4,0))</f>
        <v>3.6667693561411759E-3</v>
      </c>
      <c r="DH100" s="267">
        <f>INDEX($AO$94:$BB$107,MATCH($CW100,$L$94:$L$107,0),MATCH(DH$95,$AO$95:$BB$95,0))/INDEX(고양시_재차인원!$K$4:$O$20,MATCH("경기도",고양시_재차인원!$K$4:$K$20,0),MATCH('A.일산테크노밸리(859991)_수정'!DH$95,고양시_재차인원!$K$4:$O$4,0))</f>
        <v>0.14509930166444374</v>
      </c>
      <c r="DI100" s="267">
        <f>INDEX($AO$94:$BB$107,MATCH($CW100,$L$94:$L$107,0),MATCH(DI$95,$AO$95:$BB$95,0))/INDEX(고양시_재차인원!$K$4:$O$20,MATCH("경기도",고양시_재차인원!$K$4:$K$20,0),MATCH('A.일산테크노밸리(859991)_수정'!DI$95,고양시_재차인원!$K$4:$O$4,0))</f>
        <v>2.5637527513945373</v>
      </c>
      <c r="DJ100" s="268">
        <f>INDEX($BC$94:$BP$107,MATCH($CW100,$L$94:$L$107,0),MATCH(DJ$95,$BC$95:$BP$95,0))/INDEX(고양시_재차인원!$D$4:$H$35,MATCH("고양시",고양시_재차인원!$B$4:$B$35,0),MATCH('A.일산테크노밸리(859991)_수정'!$DJ$94,고양시_재차인원!$D$4:$H$4,0))</f>
        <v>0.14430667518024792</v>
      </c>
      <c r="DK100" s="267">
        <f>INDEX($BC$94:$BP$107,MATCH($CW100,$L$94:$L$107,0),MATCH(DK$95,$BC$95:$BP$95,0))/INDEX(고양시_재차인원!$K$4:$O$20,MATCH("경기도",고양시_재차인원!$K$4:$K$20,0),MATCH('A.일산테크노밸리(859991)_수정'!DK$95,고양시_재차인원!$K$4:$O$4,0))</f>
        <v>4.3711468864273626E-4</v>
      </c>
      <c r="DL100" s="267">
        <f>INDEX($BC$94:$BP$107,MATCH($CW100,$L$94:$L$107,0),MATCH(DL$95,$BC$95:$BP$95,0))/INDEX(고양시_재차인원!$K$4:$O$20,MATCH("경기도",고양시_재차인원!$K$4:$K$20,0),MATCH('A.일산테크노밸리(859991)_수정'!DL$95,고양시_재차인원!$K$4:$O$4,0))</f>
        <v>2.9140979242849084E-4</v>
      </c>
      <c r="DM100" s="267">
        <f>INDEX($BC$94:$BP$107,MATCH($CW100,$L$94:$L$107,0),MATCH(DM$95,$BC$95:$BP$95,0))/INDEX(고양시_재차인원!$K$4:$O$20,MATCH("경기도",고양시_재차인원!$K$4:$K$20,0),MATCH('A.일산테크노밸리(859991)_수정'!DM$95,고양시_재차인원!$K$4:$O$4,0))</f>
        <v>1.2007839589929096E-3</v>
      </c>
      <c r="DN100" s="268">
        <f>INDEX($BQ$94:$CD$107,MATCH($CW100,$L$94:$L$107,0),MATCH(DN$95,$BQ$95:$CD$95,0))/INDEX(고양시_재차인원!$D$4:$H$35,MATCH("고양시",고양시_재차인원!$B$4:$B$35,0),MATCH('A.일산테크노밸리(859991)_수정'!$DN$94,고양시_재차인원!$D$4:$H$4,0))</f>
        <v>0.4354388391535986</v>
      </c>
      <c r="DO100" s="267">
        <f>INDEX($BQ$94:$CD$107,MATCH($CW100,$L$94:$L$107,0),MATCH(DO$95,$BQ$95:$CD$95,0))/INDEX(고양시_재차인원!$K$4:$O$20,MATCH("경기도",고양시_재차인원!$K$4:$K$20,0),MATCH('A.일산테크노밸리(859991)_수정'!DO$95,고양시_재차인원!$K$4:$O$4,0))</f>
        <v>1.7383975250771866E-3</v>
      </c>
      <c r="DP100" s="267">
        <f>INDEX($BQ$94:$CD$107,MATCH($CW100,$L$94:$L$107,0),MATCH(DP$95,$BQ$95:$CD$95,0))/INDEX(고양시_재차인원!$K$4:$O$20,MATCH("경기도",고양시_재차인원!$K$4:$K$20,0),MATCH('A.일산테크노밸리(859991)_수정'!DP$95,고양시_재차인원!$K$4:$O$4,0))</f>
        <v>5.8060611436835568E-3</v>
      </c>
      <c r="DQ100" s="267">
        <f>INDEX($BQ$94:$CD$107,MATCH($CW100,$L$94:$L$107,0),MATCH(DQ$95,$BQ$95:$CD$95,0))/INDEX(고양시_재차인원!$K$4:$O$20,MATCH("경기도",고양시_재차인원!$K$4:$K$20,0),MATCH('A.일산테크노밸리(859991)_수정'!DQ$95,고양시_재차인원!$K$4:$O$4,0))</f>
        <v>4.1781664070221269E-4</v>
      </c>
      <c r="DR100" s="269">
        <f t="shared" si="57"/>
        <v>836.03385202707693</v>
      </c>
      <c r="DS100" s="270">
        <f t="shared" si="49"/>
        <v>7.1039597483791824E-3</v>
      </c>
      <c r="DT100" s="270">
        <f t="shared" si="50"/>
        <v>3.6795393430118382</v>
      </c>
      <c r="DU100" s="270">
        <f t="shared" si="51"/>
        <v>90.84624962728445</v>
      </c>
      <c r="DW100" s="278"/>
      <c r="DX100" s="278" t="s">
        <v>593</v>
      </c>
      <c r="DY100" s="281">
        <f t="shared" si="58"/>
        <v>926.8801016543614</v>
      </c>
      <c r="DZ100" s="281">
        <f t="shared" si="59"/>
        <v>3.6866433027602175</v>
      </c>
      <c r="EC100" s="412" t="s">
        <v>15</v>
      </c>
      <c r="ED100" s="412" t="s">
        <v>571</v>
      </c>
      <c r="EE100" s="412">
        <v>24085.599100000003</v>
      </c>
      <c r="EF100" s="412">
        <v>0.11186292027724311</v>
      </c>
      <c r="EG100" s="413">
        <v>859006</v>
      </c>
      <c r="EH100" s="414">
        <f t="shared" si="52"/>
        <v>836.40246391699077</v>
      </c>
      <c r="EI100" s="415">
        <f t="shared" si="53"/>
        <v>3.3267706756332744</v>
      </c>
      <c r="EJ100" s="402">
        <v>0</v>
      </c>
      <c r="EM100" s="278" t="s">
        <v>15</v>
      </c>
      <c r="EN100" s="278" t="s">
        <v>571</v>
      </c>
      <c r="EO100" s="278">
        <v>24085.599100000003</v>
      </c>
      <c r="EP100" s="278">
        <v>0.11186292027724311</v>
      </c>
      <c r="EQ100" s="289">
        <v>859006</v>
      </c>
      <c r="ER100" s="290">
        <f t="shared" si="34"/>
        <v>836.40246391699077</v>
      </c>
      <c r="ES100" s="291">
        <f t="shared" si="35"/>
        <v>3.3267706756332744</v>
      </c>
      <c r="ET100" s="402">
        <v>0</v>
      </c>
      <c r="EV100" s="34"/>
      <c r="EW100" s="34"/>
      <c r="EX100" s="34"/>
      <c r="EY100" s="34"/>
      <c r="EZ100" s="378"/>
      <c r="FA100" s="401"/>
      <c r="FB100" s="402"/>
      <c r="FC100" s="402"/>
    </row>
    <row r="101" spans="1:159" ht="25">
      <c r="A101" s="205"/>
      <c r="B101" s="205" t="s">
        <v>17</v>
      </c>
      <c r="C101" s="400">
        <f>'A.일산테크노밸리(859991)_수정'!$P33*KTDB_TripDistribution_2025!T$12</f>
        <v>310.09176340519593</v>
      </c>
      <c r="D101" s="400">
        <f>'A.일산테크노밸리(859991)_수정'!$P33*KTDB_TripDistribution_2025!U$12</f>
        <v>2244.1975308641981</v>
      </c>
      <c r="E101" s="400">
        <f>'A.일산테크노밸리(859991)_수정'!$P33*KTDB_TripDistribution_2025!V$12</f>
        <v>128.7440574903259</v>
      </c>
      <c r="F101" s="400">
        <f>'A.일산테크노밸리(859991)_수정'!$P33*KTDB_TripDistribution_2025!W$12</f>
        <v>0.20232172470978363</v>
      </c>
      <c r="G101" s="400">
        <f>'A.일산테크노밸리(859991)_수정'!$P33*KTDB_TripDistribution_2025!X$12</f>
        <v>0.76432651557029652</v>
      </c>
      <c r="H101" s="400">
        <f>'A.일산테크노밸리(859991)_수정'!$P33*KTDB_TripDistribution_2025!Y$12</f>
        <v>2684.0000000000005</v>
      </c>
      <c r="J101" s="230">
        <f t="shared" si="54"/>
        <v>2684</v>
      </c>
      <c r="K101" s="206"/>
      <c r="L101" s="209" t="s">
        <v>17</v>
      </c>
      <c r="M101" s="213">
        <f>INDEX($A$95:$H$107,MATCH($L101,$B$95:$B$107,0),MATCH($M$94,$A$95:$H$95,0))*고양시_Modal_split!C$3 * 0.01</f>
        <v>0.86825693753454858</v>
      </c>
      <c r="N101" s="213">
        <f>INDEX($A$95:$H$107,MATCH($L101,$B$95:$B$107,0),MATCH($M$94,$A$95:$H$95,0))*고양시_Modal_split!D$3 * 0.01</f>
        <v>145.83615632946365</v>
      </c>
      <c r="O101" s="213">
        <f>INDEX($A$95:$H$107,MATCH($L101,$B$95:$B$107,0),MATCH($M$94,$A$95:$H$95,0))*고양시_Modal_split!E$3 * 0.01</f>
        <v>17.644221337755649</v>
      </c>
      <c r="P101" s="213">
        <f>INDEX($A$95:$H$107,MATCH($L101,$B$95:$B$107,0),MATCH($M$94,$A$95:$H$95,0))*고양시_Modal_split!F$3 * 0.01</f>
        <v>28.43541470425647</v>
      </c>
      <c r="Q101" s="213">
        <f>INDEX($A$95:$H$107,MATCH($L101,$B$95:$B$107,0),MATCH($M$94,$A$95:$H$95,0))*고양시_Modal_split!G$3 * 0.01</f>
        <v>2.8528442233278026</v>
      </c>
      <c r="R101" s="213">
        <f>INDEX($A$95:$H$107,MATCH($L101,$B$95:$B$107,0),MATCH($M$94,$A$95:$H$95,0))*고양시_Modal_split!H$3 * 0.01</f>
        <v>3.1009176340519595E-2</v>
      </c>
      <c r="S101" s="213">
        <f>INDEX($A$95:$H$107,MATCH($L101,$B$95:$B$107,0),MATCH($M$94,$A$95:$H$95,0))*고양시_Modal_split!I$3 * 0.01</f>
        <v>8.6205510226644471</v>
      </c>
      <c r="T101" s="213">
        <f>INDEX($A$95:$H$107,MATCH($L101,$B$95:$B$107,0),MATCH($M$94,$A$95:$H$95,0))*고양시_Modal_split!J$3 * 0.01</f>
        <v>94.391932780541651</v>
      </c>
      <c r="U101" s="213">
        <f>INDEX($A$95:$H$107,MATCH($L101,$B$95:$B$107,0),MATCH($M$94,$A$95:$H$95,0))*고양시_Modal_split!K$3 * 0.01</f>
        <v>0.46513764510779387</v>
      </c>
      <c r="V101" s="213">
        <f>INDEX($A$95:$H$107,MATCH($L101,$B$95:$B$107,0),MATCH($M$94,$A$95:$H$95,0))*고양시_Modal_split!L$3 * 0.01</f>
        <v>9.3647712548369171</v>
      </c>
      <c r="W101" s="213">
        <f>INDEX($A$95:$H$107,MATCH($L101,$B$95:$B$107,0),MATCH($M$94,$A$95:$H$95,0))*고양시_Modal_split!M$3 * 0.01</f>
        <v>0.71321105583195066</v>
      </c>
      <c r="X101" s="213">
        <f>INDEX($A$95:$H$107,MATCH($L101,$B$95:$B$107,0),MATCH($M$94,$A$95:$H$95,0))*고양시_Modal_split!N$3 * 0.01</f>
        <v>0.31009176340519595</v>
      </c>
      <c r="Y101" s="213">
        <f>INDEX($A$95:$H$107,MATCH($L101,$B$95:$B$107,0),MATCH($M$94,$A$95:$H$95,0))*고양시_Modal_split!O$3 * 0.01</f>
        <v>0.55816517412935274</v>
      </c>
      <c r="Z101" s="213">
        <f>INDEX($A$95:$H$107,MATCH($L101,$B$95:$B$107,0),MATCH($M$94,$A$95:$H$95,0))*고양시_Modal_split!P$3 * 0.01</f>
        <v>310.09176340519593</v>
      </c>
      <c r="AA101" s="213">
        <f>INDEX($A$95:$H$107,MATCH($L101,$B$95:$B$107,0),MATCH($AA$94,$A$95:$H$95,0))*고양시_Modal_split!C$4 * 0.01</f>
        <v>683.13372839506189</v>
      </c>
      <c r="AB101" s="213">
        <f>INDEX($A$95:$H$107,MATCH($L101,$B$95:$B$107,0),MATCH($AA$94,$A$95:$H$95,0))*고양시_Modal_split!D$4 * 0.01</f>
        <v>719.71414814814841</v>
      </c>
      <c r="AC101" s="213">
        <f>INDEX($A$95:$H$107,MATCH($L101,$B$95:$B$107,0),MATCH($AA$94,$A$95:$H$95,0))*고양시_Modal_split!E$4 * 0.01</f>
        <v>174.37414814814821</v>
      </c>
      <c r="AD101" s="213">
        <f>INDEX($A$95:$H$107,MATCH($L101,$B$95:$B$107,0),MATCH($AA$94,$A$95:$H$95,0))*고양시_Modal_split!F$4 * 0.01</f>
        <v>21.31987654320988</v>
      </c>
      <c r="AE101" s="213">
        <f>INDEX($A$95:$H$107,MATCH($L101,$B$95:$B$107,0),MATCH($AA$94,$A$95:$H$95,0))*고양시_Modal_split!G$4 * 0.01</f>
        <v>262.79553086419759</v>
      </c>
      <c r="AF101" s="213">
        <f>INDEX($A$95:$H$107,MATCH($L101,$B$95:$B$107,0),MATCH($AA$94,$A$95:$H$95,0))*고양시_Modal_split!H$4 * 0.01</f>
        <v>0</v>
      </c>
      <c r="AG101" s="213">
        <f>INDEX($A$95:$H$107,MATCH($L101,$B$95:$B$107,0),MATCH($AA$94,$A$95:$H$95,0))*고양시_Modal_split!I$4 * 0.01</f>
        <v>78.098074074074091</v>
      </c>
      <c r="AH101" s="213">
        <f>INDEX($A$95:$H$107,MATCH($L101,$B$95:$B$107,0),MATCH($AA$94,$A$95:$H$95,0))*고양시_Modal_split!J$4 * 0.01</f>
        <v>105.70170370370374</v>
      </c>
      <c r="AI101" s="213">
        <f>INDEX($A$95:$H$107,MATCH($L101,$B$95:$B$107,0),MATCH($AA$94,$A$95:$H$95,0))*고양시_Modal_split!K$4 * 0.01</f>
        <v>0</v>
      </c>
      <c r="AJ101" s="213">
        <f>INDEX($A$95:$H$107,MATCH($L101,$B$95:$B$107,0),MATCH($AA$94,$A$95:$H$95,0))*고양시_Modal_split!L$4 * 0.01</f>
        <v>103.68192592592595</v>
      </c>
      <c r="AK101" s="213">
        <f>INDEX($A$95:$H$107,MATCH($L101,$B$95:$B$107,0),MATCH($AA$94,$A$95:$H$95,0))*고양시_Modal_split!M$4 * 0.01</f>
        <v>15.036123456790129</v>
      </c>
      <c r="AL101" s="213">
        <f>INDEX($A$95:$H$107,MATCH($L101,$B$95:$B$107,0),MATCH($AA$94,$A$95:$H$95,0))*고양시_Modal_split!N$4 * 0.01</f>
        <v>56.104938271604951</v>
      </c>
      <c r="AM101" s="213">
        <f>INDEX($A$95:$H$107,MATCH($L101,$B$95:$B$107,0),MATCH($AA$94,$A$95:$H$95,0))*고양시_Modal_split!O$4 * 0.01</f>
        <v>24.237333333333339</v>
      </c>
      <c r="AN101" s="213">
        <f>INDEX($A$95:$H$107,MATCH($L101,$B$95:$B$107,0),MATCH($AA$94,$A$95:$H$95,0))*고양시_Modal_split!P$4 * 0.01</f>
        <v>2244.1975308641981</v>
      </c>
      <c r="AO101" s="213">
        <f>INDEX($A$95:$H$107,MATCH($L101,$B$95:$B$107,0),MATCH($AO$94,$A$95:$H$95,0))*고양시_Modal_split!C$5 * 0.01</f>
        <v>7.7246434494195534E-2</v>
      </c>
      <c r="AP101" s="213">
        <f>INDEX($A$95:$H$107,MATCH($L101,$B$95:$B$107,0),MATCH($AO$94,$A$95:$H$95,0))*고양시_Modal_split!D$5 * 0.01</f>
        <v>94.343645328910824</v>
      </c>
      <c r="AQ101" s="213">
        <f>INDEX($A$95:$H$107,MATCH($L101,$B$95:$B$107,0),MATCH($AO$94,$A$95:$H$95,0))*고양시_Modal_split!E$5 * 0.01</f>
        <v>12.6812896627971</v>
      </c>
      <c r="AR101" s="213">
        <f>INDEX($A$95:$H$107,MATCH($L101,$B$95:$B$107,0),MATCH($AO$94,$A$95:$H$95,0))*고양시_Modal_split!F$5 * 0.01</f>
        <v>2.7036252072968439</v>
      </c>
      <c r="AS101" s="213">
        <f>INDEX($A$95:$H$107,MATCH($L101,$B$95:$B$107,0),MATCH($AO$94,$A$95:$H$95,0))*고양시_Modal_split!G$5 * 0.01</f>
        <v>0.8368363736871185</v>
      </c>
      <c r="AT101" s="213">
        <f>INDEX($A$95:$H$107,MATCH($L101,$B$95:$B$107,0),MATCH($AO$94,$A$95:$H$95,0))*고양시_Modal_split!H$5 * 0.01</f>
        <v>9.0120840243228126E-2</v>
      </c>
      <c r="AU101" s="213">
        <f>INDEX($A$95:$H$107,MATCH($L101,$B$95:$B$107,0),MATCH($AO$94,$A$95:$H$95,0))*고양시_Modal_split!I$5 * 0.01</f>
        <v>3.5662103924820276</v>
      </c>
      <c r="AV101" s="213">
        <f>INDEX($A$95:$H$107,MATCH($L101,$B$95:$B$107,0),MATCH($AO$94,$A$95:$H$95,0))*고양시_Modal_split!J$5 * 0.01</f>
        <v>8.0722524046434341</v>
      </c>
      <c r="AW101" s="213">
        <f>INDEX($A$95:$H$107,MATCH($L101,$B$95:$B$107,0),MATCH($AO$94,$A$95:$H$95,0))*고양시_Modal_split!K$5 * 0.01</f>
        <v>2.5748811498065183E-2</v>
      </c>
      <c r="AX101" s="213">
        <f>INDEX($A$95:$H$107,MATCH($L101,$B$95:$B$107,0),MATCH($AO$94,$A$95:$H$95,0))*고양시_Modal_split!L$5 * 0.01</f>
        <v>3.2829734660033103</v>
      </c>
      <c r="AY101" s="213">
        <f>INDEX($A$95:$H$107,MATCH($L101,$B$95:$B$107,0),MATCH($AO$94,$A$95:$H$95,0))*고양시_Modal_split!M$5 * 0.01</f>
        <v>0.86258518518518357</v>
      </c>
      <c r="AZ101" s="213">
        <f>INDEX($A$95:$H$107,MATCH($L101,$B$95:$B$107,0),MATCH($AO$94,$A$95:$H$95,0))*고양시_Modal_split!N$5 * 0.01</f>
        <v>0.218864897733554</v>
      </c>
      <c r="BA101" s="213">
        <f>INDEX($A$95:$H$107,MATCH($L101,$B$95:$B$107,0),MATCH($AO$94,$A$95:$H$95,0))*고양시_Modal_split!O$5 * 0.01</f>
        <v>1.982658485351019</v>
      </c>
      <c r="BB101" s="213">
        <f>INDEX($A$95:$H$107,MATCH($L101,$B$95:$B$107,0),MATCH($AO$94,$A$95:$H$95,0))*고양시_Modal_split!P$5 * 0.01</f>
        <v>128.7440574903259</v>
      </c>
      <c r="BC101" s="213">
        <f>INDEX($A$95:$H$107,MATCH($L101,$B$95:$B$107,0),MATCH($BC$94,$A$95:$H$95,0))*고양시_Modal_split!C$6 * 0.01</f>
        <v>0</v>
      </c>
      <c r="BD101" s="207">
        <f>INDEX($A$95:$H$107,MATCH($L101,$B$95:$B$107,0),MATCH($BC$94,$A$95:$H$95,0))*고양시_Modal_split!D$6 * 0.01</f>
        <v>0.16754262023217181</v>
      </c>
      <c r="BE101" s="207">
        <f>INDEX($A$95:$H$107,MATCH($L101,$B$95:$B$107,0),MATCH($BC$94,$A$95:$H$95,0))*고양시_Modal_split!E$6 * 0.01</f>
        <v>8.6998341625206966E-4</v>
      </c>
      <c r="BF101" s="207">
        <f>INDEX($A$95:$H$107,MATCH($L101,$B$95:$B$107,0),MATCH($BC$94,$A$95:$H$95,0))*고양시_Modal_split!F$6 * 0.01</f>
        <v>2.4683250414593602E-3</v>
      </c>
      <c r="BG101" s="207">
        <f>INDEX($A$95:$H$107,MATCH($L101,$B$95:$B$107,0),MATCH($BC$94,$A$95:$H$95,0))*고양시_Modal_split!G$6 * 0.01</f>
        <v>0</v>
      </c>
      <c r="BH101" s="207">
        <f>INDEX($A$95:$H$107,MATCH($L101,$B$95:$B$107,0),MATCH($BC$94,$A$95:$H$95,0))*고양시_Modal_split!H$6 * 0.01</f>
        <v>1.0743283582089511E-2</v>
      </c>
      <c r="BI101" s="207">
        <f>INDEX($A$95:$H$107,MATCH($L101,$B$95:$B$107,0),MATCH($BC$94,$A$95:$H$95,0))*고양시_Modal_split!I$6 * 0.01</f>
        <v>7.16218905472634E-3</v>
      </c>
      <c r="BJ101" s="207">
        <f>INDEX($A$95:$H$107,MATCH($L101,$B$95:$B$107,0),MATCH($BC$94,$A$95:$H$95,0))*고양시_Modal_split!J$6 * 0.01</f>
        <v>9.9946932006633113E-3</v>
      </c>
      <c r="BK101" s="207">
        <f>INDEX($A$95:$H$107,MATCH($L101,$B$95:$B$107,0),MATCH($BC$94,$A$95:$H$95,0))*고양시_Modal_split!K$6 * 0.01</f>
        <v>0</v>
      </c>
      <c r="BL101" s="207">
        <f>INDEX($A$95:$H$107,MATCH($L101,$B$95:$B$107,0),MATCH($BC$94,$A$95:$H$95,0))*고양시_Modal_split!L$6 * 0.01</f>
        <v>1.5376451077943557E-3</v>
      </c>
      <c r="BM101" s="207">
        <f>INDEX($A$95:$H$107,MATCH($L101,$B$95:$B$107,0),MATCH($BC$94,$A$95:$H$95,0))*고양시_Modal_split!M$6 * 0.01</f>
        <v>1.8411276948590311E-3</v>
      </c>
      <c r="BN101" s="207">
        <f>INDEX($A$95:$H$107,MATCH($L101,$B$95:$B$107,0),MATCH($BC$94,$A$95:$H$95,0))*고양시_Modal_split!N$6 * 0.01</f>
        <v>0</v>
      </c>
      <c r="BO101" s="207">
        <f>INDEX($A$95:$H$107,MATCH($L101,$B$95:$B$107,0),MATCH($BC$94,$A$95:$H$95,0))*고양시_Modal_split!O$6 * 0.01</f>
        <v>1.6185737976782692E-4</v>
      </c>
      <c r="BP101" s="214">
        <f>INDEX($A$95:$H$107,MATCH($L101,$B$95:$B$107,0),MATCH($BC$94,$A$95:$H$95,0))*고양시_Modal_split!P$6 * 0.01</f>
        <v>0.20232172470978363</v>
      </c>
      <c r="BQ101" s="213">
        <f>INDEX($A$95:$H$107,MATCH($L101,$B$95:$B$107,0),MATCH($BQ$94,$A$95:$H$95,0))*고양시_Modal_split!C$7 * 0.01</f>
        <v>0</v>
      </c>
      <c r="BR101" s="213">
        <f>INDEX($A$95:$H$107,MATCH($L101,$B$95:$B$107,0),MATCH($BQ$94,$A$95:$H$95,0))*고양시_Modal_split!D$7 * 0.01</f>
        <v>0.46837928874147772</v>
      </c>
      <c r="BS101" s="213">
        <f>INDEX($A$95:$H$107,MATCH($L101,$B$95:$B$107,0),MATCH($BQ$94,$A$95:$H$95,0))*고양시_Modal_split!E$7 * 0.01</f>
        <v>2.2853362815551864E-2</v>
      </c>
      <c r="BT101" s="213">
        <f>INDEX($A$95:$H$107,MATCH($L101,$B$95:$B$107,0),MATCH($BQ$94,$A$95:$H$95,0))*고양시_Modal_split!F$7 * 0.01</f>
        <v>7.6432651557029651E-3</v>
      </c>
      <c r="BU101" s="213">
        <f>INDEX($A$95:$H$107,MATCH($L101,$B$95:$B$107,0),MATCH($BQ$94,$A$95:$H$95,0))*고양시_Modal_split!G$7 * 0.01</f>
        <v>3.2101713653952453E-3</v>
      </c>
      <c r="BV101" s="213">
        <f>INDEX($A$95:$H$107,MATCH($L101,$B$95:$B$107,0),MATCH($BQ$94,$A$95:$H$95,0))*고양시_Modal_split!H$7 * 0.01</f>
        <v>4.272585222037957E-2</v>
      </c>
      <c r="BW101" s="213">
        <f>INDEX($A$95:$H$107,MATCH($L101,$B$95:$B$107,0),MATCH($BQ$94,$A$95:$H$95,0))*고양시_Modal_split!I$7 * 0.01</f>
        <v>0.14269976045697438</v>
      </c>
      <c r="BX101" s="213">
        <f>INDEX($A$95:$H$107,MATCH($L101,$B$95:$B$107,0),MATCH($BQ$94,$A$95:$H$95,0))*고양시_Modal_split!J$7 * 0.01</f>
        <v>1.5286530311405929E-4</v>
      </c>
      <c r="BY101" s="213">
        <f>INDEX($A$95:$H$107,MATCH($L101,$B$95:$B$107,0),MATCH($BQ$94,$A$95:$H$95,0))*고양시_Modal_split!K$7 * 0.01</f>
        <v>5.8853141698912835E-2</v>
      </c>
      <c r="BZ101" s="213">
        <f>INDEX($A$95:$H$107,MATCH($L101,$B$95:$B$107,0),MATCH($BQ$94,$A$95:$H$95,0))*고양시_Modal_split!L$7 * 0.01</f>
        <v>5.3502856089920751E-4</v>
      </c>
      <c r="CA101" s="213">
        <f>INDEX($A$95:$H$107,MATCH($L101,$B$95:$B$107,0),MATCH($BQ$94,$A$95:$H$95,0))*고양시_Modal_split!M$7 * 0.01</f>
        <v>1.4292905841164546E-2</v>
      </c>
      <c r="CB101" s="213">
        <f>INDEX($A$95:$H$107,MATCH($L101,$B$95:$B$107,0),MATCH($BQ$94,$A$95:$H$95,0))*고양시_Modal_split!N$7 * 0.01</f>
        <v>2.9808734107241563E-3</v>
      </c>
      <c r="CC101" s="213">
        <f>INDEX($A$95:$H$107,MATCH($L101,$B$95:$B$107,0),MATCH($BQ$94,$A$95:$H$95,0))*고양시_Modal_split!O$7 * 0.01</f>
        <v>0</v>
      </c>
      <c r="CD101" s="213">
        <f>INDEX($A$95:$H$107,MATCH($L101,$B$95:$B$107,0),MATCH($BQ$94,$A$95:$H$95,0))*고양시_Modal_split!P$7 * 0.01</f>
        <v>0.76432651557029663</v>
      </c>
      <c r="CE101" s="218">
        <f t="shared" si="55"/>
        <v>684.07923176709062</v>
      </c>
      <c r="CF101" s="208">
        <f t="shared" si="36"/>
        <v>960.5298717154966</v>
      </c>
      <c r="CG101" s="208">
        <f t="shared" si="37"/>
        <v>204.72338249493276</v>
      </c>
      <c r="CH101" s="208">
        <f t="shared" si="38"/>
        <v>52.469028044960353</v>
      </c>
      <c r="CI101" s="208">
        <f t="shared" si="39"/>
        <v>266.48842163257785</v>
      </c>
      <c r="CJ101" s="208">
        <f t="shared" si="40"/>
        <v>0.17459915238621682</v>
      </c>
      <c r="CK101" s="208">
        <f t="shared" si="41"/>
        <v>90.434697438732272</v>
      </c>
      <c r="CL101" s="208">
        <f t="shared" si="42"/>
        <v>208.17603644739259</v>
      </c>
      <c r="CM101" s="208">
        <f t="shared" si="43"/>
        <v>0.54973959830477193</v>
      </c>
      <c r="CN101" s="208">
        <f t="shared" si="44"/>
        <v>116.33174332043487</v>
      </c>
      <c r="CO101" s="208">
        <f t="shared" si="45"/>
        <v>16.628053731343286</v>
      </c>
      <c r="CP101" s="208">
        <f t="shared" si="46"/>
        <v>56.636875806154421</v>
      </c>
      <c r="CQ101" s="208">
        <f t="shared" si="47"/>
        <v>26.778318850193482</v>
      </c>
      <c r="CR101" s="219">
        <f t="shared" si="48"/>
        <v>2684</v>
      </c>
      <c r="CS101" s="225">
        <f t="shared" si="56"/>
        <v>0</v>
      </c>
      <c r="CV101" s="265"/>
      <c r="CW101" s="266" t="s">
        <v>17</v>
      </c>
      <c r="CX101" s="267">
        <f>INDEX($M$94:$Z$107,MATCH($CW101,$L$94:$L$107,0),MATCH(CX$95,$M$95:$Z$95,0))/INDEX(고양시_재차인원!$D$4:$H$35,MATCH("고양시",고양시_재차인원!$B$4:$B$35,0),MATCH('A.일산테크노밸리(859991)_수정'!$CX$94,고양시_재차인원!$D$4:$H$4,0))</f>
        <v>130.21085386559253</v>
      </c>
      <c r="CY101" s="267">
        <f>INDEX($M$94:$Z$107,MATCH($CW101,$L$94:$L$107,0),MATCH(CY$95,$M$95:$Z$95,0))/INDEX(고양시_재차인원!$K$4:$O$20,MATCH("경기도",고양시_재차인원!$K$4:$K$20,0),MATCH('A.일산테크노밸리(859991)_수정'!CY$95,고양시_재차인원!$K$4:$O$4,0))</f>
        <v>1.0770814984550051E-3</v>
      </c>
      <c r="CZ101" s="267">
        <f>INDEX($M$94:$Z$107,MATCH($CW101,$L$94:$L$107,0),MATCH(CZ$95,$M$95:$Z$95,0))/INDEX(고양시_재차인원!$K$4:$O$20,MATCH("경기도",고양시_재차인원!$K$4:$K$20,0),MATCH('A.일산테크노밸리(859991)_수정'!CZ$95,고양시_재차인원!$K$4:$O$4,0))</f>
        <v>0.29942865657049139</v>
      </c>
      <c r="DA101" s="267">
        <f>INDEX($M$94:$Z$107,MATCH($CW101,$L$94:$L$107,0),MATCH(DA$95,$M$95:$Z$95,0))/INDEX(고양시_재차인원!$K$4:$O$20,MATCH("경기도",고양시_재차인원!$K$4:$K$20,0),MATCH('A.일산테크노밸리(859991)_수정'!DA$95,고양시_재차인원!$K$4:$O$4,0))</f>
        <v>6.2431808365579444</v>
      </c>
      <c r="DB101" s="268">
        <f>INDEX($AA$94:$AN$107,MATCH($CW101,$L$94:$L$107,0),MATCH(DB$95,$AA$95:$AN$95,0))/INDEX(고양시_재차인원!$D$4:$H$35,MATCH("고양시",고양시_재차인원!$B$4:$B$35,0),MATCH('A.일산테크노밸리(859991)_수정'!$DB$94,고양시_재차인원!$D$4:$H$4,0))</f>
        <v>510.43556606251661</v>
      </c>
      <c r="DC101" s="267">
        <f>INDEX($AA$94:$AN$107,MATCH($CW101,$L$94:$L$107,0),MATCH(DC$95,$AA$95:$AN$95,0))/INDEX(고양시_재차인원!$K$4:$O$20,MATCH("경기도",고양시_재차인원!$K$4:$K$20,0),MATCH('A.일산테크노밸리(859991)_수정'!DC$95,고양시_재차인원!$K$4:$O$4,0))</f>
        <v>0</v>
      </c>
      <c r="DD101" s="267">
        <f>INDEX($AA$94:$AN$107,MATCH($CW101,$L$94:$L$107,0),MATCH(DD$95,$AA$95:$AN$95,0))/INDEX(고양시_재차인원!$K$4:$O$20,MATCH("경기도",고양시_재차인원!$K$4:$K$20,0),MATCH('A.일산테크노밸리(859991)_수정'!DD$95,고양시_재차인원!$K$4:$O$4,0))</f>
        <v>2.7126805861088603</v>
      </c>
      <c r="DE101" s="267">
        <f>INDEX($AA$94:$AN$107,MATCH($CW101,$L$94:$L$107,0),MATCH(DE$95,$AA$95:$AN$95,0))/INDEX(고양시_재차인원!$K$4:$O$20,MATCH("경기도",고양시_재차인원!$K$4:$K$20,0),MATCH('A.일산테크노밸리(859991)_수정'!DE$95,고양시_재차인원!$K$4:$O$4,0))</f>
        <v>69.121283950617297</v>
      </c>
      <c r="DF101" s="268">
        <f>INDEX($AO$94:$BB$107,MATCH($CW101,$L$94:$L$107,0),MATCH(DF$95,$AO$95:$BB$95,0))/INDEX(고양시_재차인원!$D$4:$H$35,MATCH("고양시",고양시_재차인원!$B$4:$B$35,0),MATCH('A.일산테크노밸리(859991)_수정'!$DF$94,고양시_재차인원!$D$4:$H$4,0))</f>
        <v>72.572034868392933</v>
      </c>
      <c r="DG101" s="267">
        <f>INDEX($AO$94:$BB$107,MATCH($CW101,$L$94:$L$107,0),MATCH(DG$95,$AO$95:$BB$95,0))/INDEX(고양시_재차인원!$K$4:$O$20,MATCH("경기도",고양시_재차인원!$K$4:$K$20,0),MATCH('A.일산테크노밸리(859991)_수정'!DG$95,고양시_재차인원!$K$4:$O$4,0))</f>
        <v>3.1302827455098343E-3</v>
      </c>
      <c r="DH101" s="267">
        <f>INDEX($AO$94:$BB$107,MATCH($CW101,$L$94:$L$107,0),MATCH(DH$95,$AO$95:$BB$95,0))/INDEX(고양시_재차인원!$K$4:$O$20,MATCH("경기도",고양시_재차인원!$K$4:$K$20,0),MATCH('A.일산테크노밸리(859991)_수정'!DH$95,고양시_재차인원!$K$4:$O$4,0))</f>
        <v>0.12386976007231774</v>
      </c>
      <c r="DI101" s="267">
        <f>INDEX($AO$94:$BB$107,MATCH($CW101,$L$94:$L$107,0),MATCH(DI$95,$AO$95:$BB$95,0))/INDEX(고양시_재차인원!$K$4:$O$20,MATCH("경기도",고양시_재차인원!$K$4:$K$20,0),MATCH('A.일산테크노밸리(859991)_수정'!DI$95,고양시_재차인원!$K$4:$O$4,0))</f>
        <v>2.1886489773355402</v>
      </c>
      <c r="DJ101" s="268">
        <f>INDEX($BC$94:$BP$107,MATCH($CW101,$L$94:$L$107,0),MATCH(DJ$95,$BC$95:$BP$95,0))/INDEX(고양시_재차인원!$D$4:$H$35,MATCH("고양시",고양시_재차인원!$B$4:$B$35,0),MATCH('A.일산테크노밸리(859991)_수정'!$DJ$94,고양시_재차인원!$D$4:$H$4,0))</f>
        <v>0.12319310311189104</v>
      </c>
      <c r="DK101" s="267">
        <f>INDEX($BC$94:$BP$107,MATCH($CW101,$L$94:$L$107,0),MATCH(DK$95,$BC$95:$BP$95,0))/INDEX(고양시_재차인원!$K$4:$O$20,MATCH("경기도",고양시_재차인원!$K$4:$K$20,0),MATCH('A.일산테크노밸리(859991)_수정'!DK$95,고양시_재차인원!$K$4:$O$4,0))</f>
        <v>3.7316024946472772E-4</v>
      </c>
      <c r="DL101" s="267">
        <f>INDEX($BC$94:$BP$107,MATCH($CW101,$L$94:$L$107,0),MATCH(DL$95,$BC$95:$BP$95,0))/INDEX(고양시_재차인원!$K$4:$O$20,MATCH("경기도",고양시_재차인원!$K$4:$K$20,0),MATCH('A.일산테크노밸리(859991)_수정'!DL$95,고양시_재차인원!$K$4:$O$4,0))</f>
        <v>2.4877349964315182E-4</v>
      </c>
      <c r="DM101" s="267">
        <f>INDEX($BC$94:$BP$107,MATCH($CW101,$L$94:$L$107,0),MATCH(DM$95,$BC$95:$BP$95,0))/INDEX(고양시_재차인원!$K$4:$O$20,MATCH("경기도",고양시_재차인원!$K$4:$K$20,0),MATCH('A.일산테크노밸리(859991)_수정'!DM$95,고양시_재차인원!$K$4:$O$4,0))</f>
        <v>1.0250967385295705E-3</v>
      </c>
      <c r="DN101" s="268">
        <f>INDEX($BQ$94:$CD$107,MATCH($CW101,$L$94:$L$107,0),MATCH(DN$95,$BQ$95:$CD$95,0))/INDEX(고양시_재차인원!$D$4:$H$35,MATCH("고양시",고양시_재차인원!$B$4:$B$35,0),MATCH('A.일산테크노밸리(859991)_수정'!$DN$94,고양시_재차인원!$D$4:$H$4,0))</f>
        <v>0.37172959423926805</v>
      </c>
      <c r="DO101" s="267">
        <f>INDEX($BQ$94:$CD$107,MATCH($CW101,$L$94:$L$107,0),MATCH(DO$95,$BQ$95:$CD$95,0))/INDEX(고양시_재차인원!$K$4:$O$20,MATCH("경기도",고양시_재차인원!$K$4:$K$20,0),MATCH('A.일산테크노밸리(859991)_수정'!DO$95,고양시_재차인원!$K$4:$O$4,0))</f>
        <v>1.4840518312045701E-3</v>
      </c>
      <c r="DP101" s="267">
        <f>INDEX($BQ$94:$CD$107,MATCH($CW101,$L$94:$L$107,0),MATCH(DP$95,$BQ$95:$CD$95,0))/INDEX(고양시_재차인원!$K$4:$O$20,MATCH("경기도",고양시_재차인원!$K$4:$K$20,0),MATCH('A.일산테크노밸리(859991)_수정'!DP$95,고양시_재차인원!$K$4:$O$4,0))</f>
        <v>4.9565738262234938E-3</v>
      </c>
      <c r="DQ101" s="267">
        <f>INDEX($BQ$94:$CD$107,MATCH($CW101,$L$94:$L$107,0),MATCH(DQ$95,$BQ$95:$CD$95,0))/INDEX(고양시_재차인원!$K$4:$O$20,MATCH("경기도",고양시_재차인원!$K$4:$K$20,0),MATCH('A.일산테크노밸리(859991)_수정'!DQ$95,고양시_재차인원!$K$4:$O$4,0))</f>
        <v>3.5668570726613832E-4</v>
      </c>
      <c r="DR101" s="269">
        <f t="shared" si="57"/>
        <v>713.71337749385327</v>
      </c>
      <c r="DS101" s="270">
        <f t="shared" si="49"/>
        <v>6.0645763246341376E-3</v>
      </c>
      <c r="DT101" s="270">
        <f t="shared" si="50"/>
        <v>3.1411843500775358</v>
      </c>
      <c r="DU101" s="270">
        <f t="shared" si="51"/>
        <v>77.554495546956574</v>
      </c>
      <c r="DW101" s="278"/>
      <c r="DX101" s="278" t="s">
        <v>594</v>
      </c>
      <c r="DY101" s="281">
        <f t="shared" si="58"/>
        <v>791.26787304080983</v>
      </c>
      <c r="DZ101" s="281">
        <f t="shared" si="59"/>
        <v>3.1472489264021699</v>
      </c>
      <c r="EC101" s="412" t="s">
        <v>15</v>
      </c>
      <c r="ED101" s="412" t="s">
        <v>572</v>
      </c>
      <c r="EE101" s="412">
        <v>10713.892900000001</v>
      </c>
      <c r="EF101" s="412">
        <v>4.9759499124587728E-2</v>
      </c>
      <c r="EG101" s="413">
        <v>859007</v>
      </c>
      <c r="EH101" s="414">
        <f t="shared" si="52"/>
        <v>372.05329136707059</v>
      </c>
      <c r="EI101" s="415">
        <f t="shared" si="53"/>
        <v>1.4798330144752572</v>
      </c>
      <c r="EJ101" s="402">
        <v>0</v>
      </c>
      <c r="EM101" s="278" t="s">
        <v>15</v>
      </c>
      <c r="EN101" s="278" t="s">
        <v>572</v>
      </c>
      <c r="EO101" s="278">
        <v>10713.892900000001</v>
      </c>
      <c r="EP101" s="278">
        <v>4.9759499124587728E-2</v>
      </c>
      <c r="EQ101" s="289">
        <v>859007</v>
      </c>
      <c r="ER101" s="290">
        <f t="shared" si="34"/>
        <v>372.05329136707059</v>
      </c>
      <c r="ES101" s="291">
        <f t="shared" si="35"/>
        <v>1.4798330144752572</v>
      </c>
      <c r="ET101" s="402">
        <v>0</v>
      </c>
      <c r="EV101" s="34"/>
      <c r="EW101" s="34"/>
      <c r="EX101" s="34"/>
      <c r="EY101" s="34"/>
      <c r="EZ101" s="378"/>
      <c r="FA101" s="401"/>
      <c r="FB101" s="402"/>
      <c r="FC101" s="402"/>
    </row>
    <row r="102" spans="1:159" ht="37.5">
      <c r="A102" s="205" t="s">
        <v>492</v>
      </c>
      <c r="B102" s="203" t="s">
        <v>490</v>
      </c>
      <c r="C102" s="400">
        <f>'A.일산테크노밸리(859991)_수정'!$P35*KTDB_TripDistribution_2025!T$12</f>
        <v>91.964621337755574</v>
      </c>
      <c r="D102" s="400">
        <f>'A.일산테크노밸리(859991)_수정'!$P35*KTDB_TripDistribution_2025!U$12</f>
        <v>665.56677890011235</v>
      </c>
      <c r="E102" s="400">
        <f>'A.일산테크노밸리(859991)_수정'!$P35*KTDB_TripDistribution_2025!V$12</f>
        <v>38.181918689381298</v>
      </c>
      <c r="F102" s="400">
        <f>'A.일산테크노밸리(859991)_수정'!$P35*KTDB_TripDistribution_2025!W$12</f>
        <v>6.0003015226895592E-2</v>
      </c>
      <c r="G102" s="400">
        <f>'A.일산테크노밸리(859991)_수정'!$P35*KTDB_TripDistribution_2025!X$12</f>
        <v>0.22667805752382864</v>
      </c>
      <c r="H102" s="400">
        <f>'A.일산테크노밸리(859991)_수정'!$P35*KTDB_TripDistribution_2025!Y$12</f>
        <v>796.00000000000023</v>
      </c>
      <c r="J102" s="230">
        <f t="shared" si="54"/>
        <v>796.00000000000011</v>
      </c>
      <c r="K102" s="206" t="s">
        <v>433</v>
      </c>
      <c r="L102" s="210" t="s">
        <v>485</v>
      </c>
      <c r="M102" s="213">
        <f>INDEX($A$95:$H$107,MATCH($L102,$B$95:$B$107,0),MATCH($M$94,$A$95:$H$95,0))*고양시_Modal_split!C$3 * 0.01</f>
        <v>0.25750093974571558</v>
      </c>
      <c r="N102" s="213">
        <f>INDEX($A$95:$H$107,MATCH($L102,$B$95:$B$107,0),MATCH($M$94,$A$95:$H$95,0))*고양시_Modal_split!D$3 * 0.01</f>
        <v>43.250961415146449</v>
      </c>
      <c r="O102" s="213">
        <f>INDEX($A$95:$H$107,MATCH($L102,$B$95:$B$107,0),MATCH($M$94,$A$95:$H$95,0))*고양시_Modal_split!E$3 * 0.01</f>
        <v>5.2327869541182919</v>
      </c>
      <c r="P102" s="213">
        <f>INDEX($A$95:$H$107,MATCH($L102,$B$95:$B$107,0),MATCH($M$94,$A$95:$H$95,0))*고양시_Modal_split!F$3 * 0.01</f>
        <v>8.4331557766721854</v>
      </c>
      <c r="Q102" s="213">
        <f>INDEX($A$95:$H$107,MATCH($L102,$B$95:$B$107,0),MATCH($M$94,$A$95:$H$95,0))*고양시_Modal_split!G$3 * 0.01</f>
        <v>0.84607451630735131</v>
      </c>
      <c r="R102" s="213">
        <f>INDEX($A$95:$H$107,MATCH($L102,$B$95:$B$107,0),MATCH($M$94,$A$95:$H$95,0))*고양시_Modal_split!H$3 * 0.01</f>
        <v>9.1964621337755591E-3</v>
      </c>
      <c r="S102" s="213">
        <f>INDEX($A$95:$H$107,MATCH($L102,$B$95:$B$107,0),MATCH($M$94,$A$95:$H$95,0))*고양시_Modal_split!I$3 * 0.01</f>
        <v>2.5566164731896048</v>
      </c>
      <c r="T102" s="213">
        <f>INDEX($A$95:$H$107,MATCH($L102,$B$95:$B$107,0),MATCH($M$94,$A$95:$H$95,0))*고양시_Modal_split!J$3 * 0.01</f>
        <v>27.994030735212796</v>
      </c>
      <c r="U102" s="213">
        <f>INDEX($A$95:$H$107,MATCH($L102,$B$95:$B$107,0),MATCH($M$94,$A$95:$H$95,0))*고양시_Modal_split!K$3 * 0.01</f>
        <v>0.13794693200663335</v>
      </c>
      <c r="V102" s="213">
        <f>INDEX($A$95:$H$107,MATCH($L102,$B$95:$B$107,0),MATCH($M$94,$A$95:$H$95,0))*고양시_Modal_split!L$3 * 0.01</f>
        <v>2.7773315644002183</v>
      </c>
      <c r="W102" s="213">
        <f>INDEX($A$95:$H$107,MATCH($L102,$B$95:$B$107,0),MATCH($M$94,$A$95:$H$95,0))*고양시_Modal_split!M$3 * 0.01</f>
        <v>0.21151862907683783</v>
      </c>
      <c r="X102" s="213">
        <f>INDEX($A$95:$H$107,MATCH($L102,$B$95:$B$107,0),MATCH($M$94,$A$95:$H$95,0))*고양시_Modal_split!N$3 * 0.01</f>
        <v>9.1964621337755584E-2</v>
      </c>
      <c r="Y102" s="213">
        <f>INDEX($A$95:$H$107,MATCH($L102,$B$95:$B$107,0),MATCH($M$94,$A$95:$H$95,0))*고양시_Modal_split!O$3 * 0.01</f>
        <v>0.16553631840796001</v>
      </c>
      <c r="Z102" s="213">
        <f>INDEX($A$95:$H$107,MATCH($L102,$B$95:$B$107,0),MATCH($M$94,$A$95:$H$95,0))*고양시_Modal_split!P$3 * 0.01</f>
        <v>91.964621337755588</v>
      </c>
      <c r="AA102" s="213">
        <f>INDEX($A$95:$H$107,MATCH($L102,$B$95:$B$107,0),MATCH($AA$94,$A$95:$H$95,0))*고양시_Modal_split!C$4 * 0.01</f>
        <v>202.59852749719423</v>
      </c>
      <c r="AB102" s="213">
        <f>INDEX($A$95:$H$107,MATCH($L102,$B$95:$B$107,0),MATCH($AA$94,$A$95:$H$95,0))*고양시_Modal_split!D$4 * 0.01</f>
        <v>213.44726599326606</v>
      </c>
      <c r="AC102" s="213">
        <f>INDEX($A$95:$H$107,MATCH($L102,$B$95:$B$107,0),MATCH($AA$94,$A$95:$H$95,0))*고양시_Modal_split!E$4 * 0.01</f>
        <v>51.714538720538734</v>
      </c>
      <c r="AD102" s="213">
        <f>INDEX($A$95:$H$107,MATCH($L102,$B$95:$B$107,0),MATCH($AA$94,$A$95:$H$95,0))*고양시_Modal_split!F$4 * 0.01</f>
        <v>6.3228843995510671</v>
      </c>
      <c r="AE102" s="213">
        <f>INDEX($A$95:$H$107,MATCH($L102,$B$95:$B$107,0),MATCH($AA$94,$A$95:$H$95,0))*고양시_Modal_split!G$4 * 0.01</f>
        <v>77.93786980920315</v>
      </c>
      <c r="AF102" s="213">
        <f>INDEX($A$95:$H$107,MATCH($L102,$B$95:$B$107,0),MATCH($AA$94,$A$95:$H$95,0))*고양시_Modal_split!H$4 * 0.01</f>
        <v>0</v>
      </c>
      <c r="AG102" s="213">
        <f>INDEX($A$95:$H$107,MATCH($L102,$B$95:$B$107,0),MATCH($AA$94,$A$95:$H$95,0))*고양시_Modal_split!I$4 * 0.01</f>
        <v>23.161723905723907</v>
      </c>
      <c r="AH102" s="213">
        <f>INDEX($A$95:$H$107,MATCH($L102,$B$95:$B$107,0),MATCH($AA$94,$A$95:$H$95,0))*고양시_Modal_split!J$4 * 0.01</f>
        <v>31.348195286195292</v>
      </c>
      <c r="AI102" s="213">
        <f>INDEX($A$95:$H$107,MATCH($L102,$B$95:$B$107,0),MATCH($AA$94,$A$95:$H$95,0))*고양시_Modal_split!K$4 * 0.01</f>
        <v>0</v>
      </c>
      <c r="AJ102" s="213">
        <f>INDEX($A$95:$H$107,MATCH($L102,$B$95:$B$107,0),MATCH($AA$94,$A$95:$H$95,0))*고양시_Modal_split!L$4 * 0.01</f>
        <v>30.749185185185194</v>
      </c>
      <c r="AK102" s="213">
        <f>INDEX($A$95:$H$107,MATCH($L102,$B$95:$B$107,0),MATCH($AA$94,$A$95:$H$95,0))*고양시_Modal_split!M$4 * 0.01</f>
        <v>4.4592974186307535</v>
      </c>
      <c r="AL102" s="213">
        <f>INDEX($A$95:$H$107,MATCH($L102,$B$95:$B$107,0),MATCH($AA$94,$A$95:$H$95,0))*고양시_Modal_split!N$4 * 0.01</f>
        <v>16.639169472502807</v>
      </c>
      <c r="AM102" s="213">
        <f>INDEX($A$95:$H$107,MATCH($L102,$B$95:$B$107,0),MATCH($AA$94,$A$95:$H$95,0))*고양시_Modal_split!O$4 * 0.01</f>
        <v>7.1881212121212137</v>
      </c>
      <c r="AN102" s="213">
        <f>INDEX($A$95:$H$107,MATCH($L102,$B$95:$B$107,0),MATCH($AA$94,$A$95:$H$95,0))*고양시_Modal_split!P$4 * 0.01</f>
        <v>665.56677890011247</v>
      </c>
      <c r="AO102" s="213">
        <f>INDEX($A$95:$H$107,MATCH($L102,$B$95:$B$107,0),MATCH($AO$94,$A$95:$H$95,0))*고양시_Modal_split!C$5 * 0.01</f>
        <v>2.290915121362878E-2</v>
      </c>
      <c r="AP102" s="213">
        <f>INDEX($A$95:$H$107,MATCH($L102,$B$95:$B$107,0),MATCH($AO$94,$A$95:$H$95,0))*고양시_Modal_split!D$5 * 0.01</f>
        <v>27.979710015578618</v>
      </c>
      <c r="AQ102" s="213">
        <f>INDEX($A$95:$H$107,MATCH($L102,$B$95:$B$107,0),MATCH($AO$94,$A$95:$H$95,0))*고양시_Modal_split!E$5 * 0.01</f>
        <v>3.7609189909040577</v>
      </c>
      <c r="AR102" s="213">
        <f>INDEX($A$95:$H$107,MATCH($L102,$B$95:$B$107,0),MATCH($AO$94,$A$95:$H$95,0))*고양시_Modal_split!F$5 * 0.01</f>
        <v>0.80182029247700726</v>
      </c>
      <c r="AS102" s="213">
        <f>INDEX($A$95:$H$107,MATCH($L102,$B$95:$B$107,0),MATCH($AO$94,$A$95:$H$95,0))*고양시_Modal_split!G$5 * 0.01</f>
        <v>0.24818247148097847</v>
      </c>
      <c r="AT102" s="213">
        <f>INDEX($A$95:$H$107,MATCH($L102,$B$95:$B$107,0),MATCH($AO$94,$A$95:$H$95,0))*고양시_Modal_split!H$5 * 0.01</f>
        <v>2.6727343082566905E-2</v>
      </c>
      <c r="AU102" s="213">
        <f>INDEX($A$95:$H$107,MATCH($L102,$B$95:$B$107,0),MATCH($AO$94,$A$95:$H$95,0))*고양시_Modal_split!I$5 * 0.01</f>
        <v>1.057639147695862</v>
      </c>
      <c r="AV102" s="213">
        <f>INDEX($A$95:$H$107,MATCH($L102,$B$95:$B$107,0),MATCH($AO$94,$A$95:$H$95,0))*고양시_Modal_split!J$5 * 0.01</f>
        <v>2.3940063018242079</v>
      </c>
      <c r="AW102" s="213">
        <f>INDEX($A$95:$H$107,MATCH($L102,$B$95:$B$107,0),MATCH($AO$94,$A$95:$H$95,0))*고양시_Modal_split!K$5 * 0.01</f>
        <v>7.6363837378762602E-3</v>
      </c>
      <c r="AX102" s="213">
        <f>INDEX($A$95:$H$107,MATCH($L102,$B$95:$B$107,0),MATCH($AO$94,$A$95:$H$95,0))*고양시_Modal_split!L$5 * 0.01</f>
        <v>0.97363892657922313</v>
      </c>
      <c r="AY102" s="213">
        <f>INDEX($A$95:$H$107,MATCH($L102,$B$95:$B$107,0),MATCH($AO$94,$A$95:$H$95,0))*고양시_Modal_split!M$5 * 0.01</f>
        <v>0.25581885521885472</v>
      </c>
      <c r="AZ102" s="213">
        <f>INDEX($A$95:$H$107,MATCH($L102,$B$95:$B$107,0),MATCH($AO$94,$A$95:$H$95,0))*고양시_Modal_split!N$5 * 0.01</f>
        <v>6.4909261771948196E-2</v>
      </c>
      <c r="BA102" s="213">
        <f>INDEX($A$95:$H$107,MATCH($L102,$B$95:$B$107,0),MATCH($AO$94,$A$95:$H$95,0))*고양시_Modal_split!O$5 * 0.01</f>
        <v>0.58800154781647207</v>
      </c>
      <c r="BB102" s="213">
        <f>INDEX($A$95:$H$107,MATCH($L102,$B$95:$B$107,0),MATCH($AO$94,$A$95:$H$95,0))*고양시_Modal_split!P$5 * 0.01</f>
        <v>38.181918689381291</v>
      </c>
      <c r="BC102" s="213">
        <f>INDEX($A$95:$H$107,MATCH($L102,$B$95:$B$107,0),MATCH($BC$94,$A$95:$H$95,0))*고양시_Modal_split!C$6 * 0.01</f>
        <v>0</v>
      </c>
      <c r="BD102" s="207">
        <f>INDEX($A$95:$H$107,MATCH($L102,$B$95:$B$107,0),MATCH($BC$94,$A$95:$H$95,0))*고양시_Modal_split!D$6 * 0.01</f>
        <v>4.9688496909392241E-2</v>
      </c>
      <c r="BE102" s="207">
        <f>INDEX($A$95:$H$107,MATCH($L102,$B$95:$B$107,0),MATCH($BC$94,$A$95:$H$95,0))*고양시_Modal_split!E$6 * 0.01</f>
        <v>2.5801296547565104E-4</v>
      </c>
      <c r="BF102" s="207">
        <f>INDEX($A$95:$H$107,MATCH($L102,$B$95:$B$107,0),MATCH($BC$94,$A$95:$H$95,0))*고양시_Modal_split!F$6 * 0.01</f>
        <v>7.3203678576812617E-4</v>
      </c>
      <c r="BG102" s="207">
        <f>INDEX($A$95:$H$107,MATCH($L102,$B$95:$B$107,0),MATCH($BC$94,$A$95:$H$95,0))*고양시_Modal_split!G$6 * 0.01</f>
        <v>0</v>
      </c>
      <c r="BH102" s="207">
        <f>INDEX($A$95:$H$107,MATCH($L102,$B$95:$B$107,0),MATCH($BC$94,$A$95:$H$95,0))*고양시_Modal_split!H$6 * 0.01</f>
        <v>3.1861601085481561E-3</v>
      </c>
      <c r="BI102" s="207">
        <f>INDEX($A$95:$H$107,MATCH($L102,$B$95:$B$107,0),MATCH($BC$94,$A$95:$H$95,0))*고양시_Modal_split!I$6 * 0.01</f>
        <v>2.1241067390321039E-3</v>
      </c>
      <c r="BJ102" s="207">
        <f>INDEX($A$95:$H$107,MATCH($L102,$B$95:$B$107,0),MATCH($BC$94,$A$95:$H$95,0))*고양시_Modal_split!J$6 * 0.01</f>
        <v>2.9641489522086416E-3</v>
      </c>
      <c r="BK102" s="207">
        <f>INDEX($A$95:$H$107,MATCH($L102,$B$95:$B$107,0),MATCH($BC$94,$A$95:$H$95,0))*고양시_Modal_split!K$6 * 0.01</f>
        <v>0</v>
      </c>
      <c r="BL102" s="207">
        <f>INDEX($A$95:$H$107,MATCH($L102,$B$95:$B$107,0),MATCH($BC$94,$A$95:$H$95,0))*고양시_Modal_split!L$6 * 0.01</f>
        <v>4.5602291572440656E-4</v>
      </c>
      <c r="BM102" s="207">
        <f>INDEX($A$95:$H$107,MATCH($L102,$B$95:$B$107,0),MATCH($BC$94,$A$95:$H$95,0))*고양시_Modal_split!M$6 * 0.01</f>
        <v>5.4602743856474987E-4</v>
      </c>
      <c r="BN102" s="207">
        <f>INDEX($A$95:$H$107,MATCH($L102,$B$95:$B$107,0),MATCH($BC$94,$A$95:$H$95,0))*고양시_Modal_split!N$6 * 0.01</f>
        <v>0</v>
      </c>
      <c r="BO102" s="207">
        <f>INDEX($A$95:$H$107,MATCH($L102,$B$95:$B$107,0),MATCH($BC$94,$A$95:$H$95,0))*고양시_Modal_split!O$6 * 0.01</f>
        <v>4.800241218151647E-5</v>
      </c>
      <c r="BP102" s="214">
        <f>INDEX($A$95:$H$107,MATCH($L102,$B$95:$B$107,0),MATCH($BC$94,$A$95:$H$95,0))*고양시_Modal_split!P$6 * 0.01</f>
        <v>6.0003015226895599E-2</v>
      </c>
      <c r="BQ102" s="213">
        <f>INDEX($A$95:$H$107,MATCH($L102,$B$95:$B$107,0),MATCH($BQ$94,$A$95:$H$95,0))*고양시_Modal_split!C$7 * 0.01</f>
        <v>0</v>
      </c>
      <c r="BR102" s="213">
        <f>INDEX($A$95:$H$107,MATCH($L102,$B$95:$B$107,0),MATCH($BQ$94,$A$95:$H$95,0))*고양시_Modal_split!D$7 * 0.01</f>
        <v>0.13890831365060219</v>
      </c>
      <c r="BS102" s="213">
        <f>INDEX($A$95:$H$107,MATCH($L102,$B$95:$B$107,0),MATCH($BQ$94,$A$95:$H$95,0))*고양시_Modal_split!E$7 * 0.01</f>
        <v>6.7776739199624757E-3</v>
      </c>
      <c r="BT102" s="213">
        <f>INDEX($A$95:$H$107,MATCH($L102,$B$95:$B$107,0),MATCH($BQ$94,$A$95:$H$95,0))*고양시_Modal_split!F$7 * 0.01</f>
        <v>2.2667805752382866E-3</v>
      </c>
      <c r="BU102" s="213">
        <f>INDEX($A$95:$H$107,MATCH($L102,$B$95:$B$107,0),MATCH($BQ$94,$A$95:$H$95,0))*고양시_Modal_split!G$7 * 0.01</f>
        <v>9.5204784160008024E-4</v>
      </c>
      <c r="BV102" s="213">
        <f>INDEX($A$95:$H$107,MATCH($L102,$B$95:$B$107,0),MATCH($BQ$94,$A$95:$H$95,0))*고양시_Modal_split!H$7 * 0.01</f>
        <v>1.267130341558202E-2</v>
      </c>
      <c r="BW102" s="213">
        <f>INDEX($A$95:$H$107,MATCH($L102,$B$95:$B$107,0),MATCH($BQ$94,$A$95:$H$95,0))*고양시_Modal_split!I$7 * 0.01</f>
        <v>4.2320793339698806E-2</v>
      </c>
      <c r="BX102" s="213">
        <f>INDEX($A$95:$H$107,MATCH($L102,$B$95:$B$107,0),MATCH($BQ$94,$A$95:$H$95,0))*고양시_Modal_split!J$7 * 0.01</f>
        <v>4.5335611504765734E-5</v>
      </c>
      <c r="BY102" s="213">
        <f>INDEX($A$95:$H$107,MATCH($L102,$B$95:$B$107,0),MATCH($BQ$94,$A$95:$H$95,0))*고양시_Modal_split!K$7 * 0.01</f>
        <v>1.7454210429334805E-2</v>
      </c>
      <c r="BZ102" s="213">
        <f>INDEX($A$95:$H$107,MATCH($L102,$B$95:$B$107,0),MATCH($BQ$94,$A$95:$H$95,0))*고양시_Modal_split!L$7 * 0.01</f>
        <v>1.5867464026668004E-4</v>
      </c>
      <c r="CA102" s="213">
        <f>INDEX($A$95:$H$107,MATCH($L102,$B$95:$B$107,0),MATCH($BQ$94,$A$95:$H$95,0))*고양시_Modal_split!M$7 * 0.01</f>
        <v>4.2388796756955959E-3</v>
      </c>
      <c r="CB102" s="213">
        <f>INDEX($A$95:$H$107,MATCH($L102,$B$95:$B$107,0),MATCH($BQ$94,$A$95:$H$95,0))*고양시_Modal_split!N$7 * 0.01</f>
        <v>8.8404442434293162E-4</v>
      </c>
      <c r="CC102" s="213">
        <f>INDEX($A$95:$H$107,MATCH($L102,$B$95:$B$107,0),MATCH($BQ$94,$A$95:$H$95,0))*고양시_Modal_split!O$7 * 0.01</f>
        <v>0</v>
      </c>
      <c r="CD102" s="213">
        <f>INDEX($A$95:$H$107,MATCH($L102,$B$95:$B$107,0),MATCH($BQ$94,$A$95:$H$95,0))*고양시_Modal_split!P$7 * 0.01</f>
        <v>0.22667805752382866</v>
      </c>
      <c r="CE102" s="218">
        <f t="shared" si="55"/>
        <v>202.87893758815358</v>
      </c>
      <c r="CF102" s="208">
        <f t="shared" si="36"/>
        <v>284.86653423455107</v>
      </c>
      <c r="CG102" s="208">
        <f t="shared" si="37"/>
        <v>60.71528035244652</v>
      </c>
      <c r="CH102" s="208">
        <f t="shared" si="38"/>
        <v>15.560859286061266</v>
      </c>
      <c r="CI102" s="208">
        <f t="shared" si="39"/>
        <v>79.033078844833071</v>
      </c>
      <c r="CJ102" s="208">
        <f t="shared" si="40"/>
        <v>5.178126874047264E-2</v>
      </c>
      <c r="CK102" s="208">
        <f t="shared" si="41"/>
        <v>26.820424426688103</v>
      </c>
      <c r="CL102" s="208">
        <f t="shared" si="42"/>
        <v>61.739241807796006</v>
      </c>
      <c r="CM102" s="208">
        <f t="shared" si="43"/>
        <v>0.16303752617384443</v>
      </c>
      <c r="CN102" s="208">
        <f t="shared" si="44"/>
        <v>34.500770373720627</v>
      </c>
      <c r="CO102" s="208">
        <f t="shared" si="45"/>
        <v>4.9314198100407065</v>
      </c>
      <c r="CP102" s="208">
        <f t="shared" si="46"/>
        <v>16.796927400036854</v>
      </c>
      <c r="CQ102" s="208">
        <f t="shared" si="47"/>
        <v>7.9417070807578272</v>
      </c>
      <c r="CR102" s="219">
        <f t="shared" si="48"/>
        <v>796.00000000000011</v>
      </c>
      <c r="CS102" s="225">
        <f t="shared" si="56"/>
        <v>0</v>
      </c>
      <c r="CV102" s="265" t="s">
        <v>433</v>
      </c>
      <c r="CW102" s="271" t="s">
        <v>485</v>
      </c>
      <c r="CX102" s="267">
        <f>INDEX($M$94:$Z$107,MATCH($CW102,$L$94:$L$107,0),MATCH(CX$95,$M$95:$Z$95,0))/INDEX(고양시_재차인원!$D$4:$H$35,MATCH("고양시",고양시_재차인원!$B$4:$B$35,0),MATCH('A.일산테크노밸리(859991)_수정'!$CX$94,고양시_재차인원!$D$4:$H$4,0))</f>
        <v>38.616929834952181</v>
      </c>
      <c r="CY102" s="267">
        <f>INDEX($M$94:$Z$107,MATCH($CW102,$L$94:$L$107,0),MATCH(CY$95,$M$95:$Z$95,0))/INDEX(고양시_재차인원!$K$4:$O$20,MATCH("경기도",고양시_재차인원!$K$4:$K$20,0),MATCH('A.일산테크노밸리(859991)_수정'!CY$95,고양시_재차인원!$K$4:$O$4,0))</f>
        <v>3.1943251593523998E-4</v>
      </c>
      <c r="CZ102" s="267">
        <f>INDEX($M$94:$Z$107,MATCH($CW102,$L$94:$L$107,0),MATCH(CZ$95,$M$95:$Z$95,0))/INDEX(고양시_재차인원!$K$4:$O$20,MATCH("경기도",고양시_재차인원!$K$4:$K$20,0),MATCH('A.일산테크노밸리(859991)_수정'!CZ$95,고양시_재차인원!$K$4:$O$4,0))</f>
        <v>8.8802239429996696E-2</v>
      </c>
      <c r="DA102" s="267">
        <f>INDEX($M$94:$Z$107,MATCH($CW102,$L$94:$L$107,0),MATCH(DA$95,$M$95:$Z$95,0))/INDEX(고양시_재차인원!$K$4:$O$20,MATCH("경기도",고양시_재차인원!$K$4:$K$20,0),MATCH('A.일산테크노밸리(859991)_수정'!DA$95,고양시_재차인원!$K$4:$O$4,0))</f>
        <v>1.8515543762668123</v>
      </c>
      <c r="DB102" s="268">
        <f>INDEX($AA$94:$AN$107,MATCH($CW102,$L$94:$L$107,0),MATCH(DB$95,$AA$95:$AN$95,0))/INDEX(고양시_재차인원!$D$4:$H$35,MATCH("고양시",고양시_재차인원!$B$4:$B$35,0),MATCH('A.일산테크노밸리(859991)_수정'!$DB$94,고양시_재차인원!$D$4:$H$4,0))</f>
        <v>151.38103971153623</v>
      </c>
      <c r="DC102" s="267">
        <f>INDEX($AA$94:$AN$107,MATCH($CW102,$L$94:$L$107,0),MATCH(DC$95,$AA$95:$AN$95,0))/INDEX(고양시_재차인원!$K$4:$O$20,MATCH("경기도",고양시_재차인원!$K$4:$K$20,0),MATCH('A.일산테크노밸리(859991)_수정'!DC$95,고양시_재차인원!$K$4:$O$4,0))</f>
        <v>0</v>
      </c>
      <c r="DD102" s="267">
        <f>INDEX($AA$94:$AN$107,MATCH($CW102,$L$94:$L$107,0),MATCH(DD$95,$AA$95:$AN$95,0))/INDEX(고양시_재차인원!$K$4:$O$20,MATCH("경기도",고양시_재차인원!$K$4:$K$20,0),MATCH('A.일산테크노밸리(859991)_수정'!DD$95,고양시_재차인원!$K$4:$O$4,0))</f>
        <v>0.80450586681917013</v>
      </c>
      <c r="DE102" s="267">
        <f>INDEX($AA$94:$AN$107,MATCH($CW102,$L$94:$L$107,0),MATCH(DE$95,$AA$95:$AN$95,0))/INDEX(고양시_재차인원!$K$4:$O$20,MATCH("경기도",고양시_재차인원!$K$4:$K$20,0),MATCH('A.일산테크노밸리(859991)_수정'!DE$95,고양시_재차인원!$K$4:$O$4,0))</f>
        <v>20.499456790123464</v>
      </c>
      <c r="DF102" s="268">
        <f>INDEX($AO$94:$BB$107,MATCH($CW102,$L$94:$L$107,0),MATCH(DF$95,$AO$95:$BB$95,0))/INDEX(고양시_재차인원!$D$4:$H$35,MATCH("고양시",고양시_재차인원!$B$4:$B$35,0),MATCH('A.일산테크노밸리(859991)_수정'!$DF$94,고양시_재차인원!$D$4:$H$4,0))</f>
        <v>21.522853858137399</v>
      </c>
      <c r="DG102" s="267">
        <f>INDEX($AO$94:$BB$107,MATCH($CW102,$L$94:$L$107,0),MATCH(DG$95,$AO$95:$BB$95,0))/INDEX(고양시_재차인원!$K$4:$O$20,MATCH("경기도",고양시_재차인원!$K$4:$K$20,0),MATCH('A.일산테크노밸리(859991)_수정'!DG$95,고양시_재차인원!$K$4:$O$4,0))</f>
        <v>9.2835509144032326E-4</v>
      </c>
      <c r="DH102" s="267">
        <f>INDEX($AO$94:$BB$107,MATCH($CW102,$L$94:$L$107,0),MATCH(DH$95,$AO$95:$BB$95,0))/INDEX(고양시_재차인원!$K$4:$O$20,MATCH("경기도",고양시_재차인원!$K$4:$K$20,0),MATCH('A.일산테크노밸리(859991)_수정'!DH$95,고양시_재차인원!$K$4:$O$4,0))</f>
        <v>3.6736337189852794E-2</v>
      </c>
      <c r="DI102" s="267">
        <f>INDEX($AO$94:$BB$107,MATCH($CW102,$L$94:$L$107,0),MATCH(DI$95,$AO$95:$BB$95,0))/INDEX(고양시_재차인원!$K$4:$O$20,MATCH("경기도",고양시_재차인원!$K$4:$K$20,0),MATCH('A.일산테크노밸리(859991)_수정'!DI$95,고양시_재차인원!$K$4:$O$4,0))</f>
        <v>0.64909261771948212</v>
      </c>
      <c r="DJ102" s="268">
        <f>INDEX($BC$94:$BP$107,MATCH($CW102,$L$94:$L$107,0),MATCH(DJ$95,$BC$95:$BP$95,0))/INDEX(고양시_재차인원!$D$4:$H$35,MATCH("고양시",고양시_재차인원!$B$4:$B$35,0),MATCH('A.일산테크노밸리(859991)_수정'!$DJ$94,고양시_재차인원!$D$4:$H$4,0))</f>
        <v>3.6535659492200175E-2</v>
      </c>
      <c r="DK102" s="267">
        <f>INDEX($BC$94:$BP$107,MATCH($CW102,$L$94:$L$107,0),MATCH(DK$95,$BC$95:$BP$95,0))/INDEX(고양시_재차인원!$K$4:$O$20,MATCH("경기도",고양시_재차인원!$K$4:$K$20,0),MATCH('A.일산테크노밸리(859991)_수정'!DK$95,고양시_재차인원!$K$4:$O$4,0))</f>
        <v>1.1066898605585815E-4</v>
      </c>
      <c r="DL102" s="267">
        <f>INDEX($BC$94:$BP$107,MATCH($CW102,$L$94:$L$107,0),MATCH(DL$95,$BC$95:$BP$95,0))/INDEX(고양시_재차인원!$K$4:$O$20,MATCH("경기도",고양시_재차인원!$K$4:$K$20,0),MATCH('A.일산테크노밸리(859991)_수정'!DL$95,고양시_재차인원!$K$4:$O$4,0))</f>
        <v>7.3779324037238759E-5</v>
      </c>
      <c r="DM102" s="267">
        <f>INDEX($BC$94:$BP$107,MATCH($CW102,$L$94:$L$107,0),MATCH(DM$95,$BC$95:$BP$95,0))/INDEX(고양시_재차인원!$K$4:$O$20,MATCH("경기도",고양시_재차인원!$K$4:$K$20,0),MATCH('A.일산테크노밸리(859991)_수정'!DM$95,고양시_재차인원!$K$4:$O$4,0))</f>
        <v>3.0401527714960435E-4</v>
      </c>
      <c r="DN102" s="268">
        <f>INDEX($BQ$94:$CD$107,MATCH($CW102,$L$94:$L$107,0),MATCH(DN$95,$BQ$95:$CD$95,0))/INDEX(고양시_재차인원!$D$4:$H$35,MATCH("고양시",고양시_재차인원!$B$4:$B$35,0),MATCH('A.일산테크노밸리(859991)_수정'!$DN$94,고양시_재차인원!$D$4:$H$4,0))</f>
        <v>0.1102446933734938</v>
      </c>
      <c r="DO102" s="267">
        <f>INDEX($BQ$94:$CD$107,MATCH($CW102,$L$94:$L$107,0),MATCH(DO$95,$BQ$95:$CD$95,0))/INDEX(고양시_재차인원!$K$4:$O$20,MATCH("경기도",고양시_재차인원!$K$4:$K$20,0),MATCH('A.일산테크노밸리(859991)_수정'!DO$95,고양시_재차인원!$K$4:$O$4,0))</f>
        <v>4.4012863548391877E-4</v>
      </c>
      <c r="DP102" s="267">
        <f>INDEX($BQ$94:$CD$107,MATCH($CW102,$L$94:$L$107,0),MATCH(DP$95,$BQ$95:$CD$95,0))/INDEX(고양시_재차인원!$K$4:$O$20,MATCH("경기도",고양시_재차인원!$K$4:$K$20,0),MATCH('A.일산테크노밸리(859991)_수정'!DP$95,고양시_재차인원!$K$4:$O$4,0))</f>
        <v>1.4699824015178466E-3</v>
      </c>
      <c r="DQ102" s="267">
        <f>INDEX($BQ$94:$CD$107,MATCH($CW102,$L$94:$L$107,0),MATCH(DQ$95,$BQ$95:$CD$95,0))/INDEX(고양시_재차인원!$K$4:$O$20,MATCH("경기도",고양시_재차인원!$K$4:$K$20,0),MATCH('A.일산테크노밸리(859991)_수정'!DQ$95,고양시_재차인원!$K$4:$O$4,0))</f>
        <v>1.0578309351112003E-4</v>
      </c>
      <c r="DR102" s="269">
        <f t="shared" si="57"/>
        <v>211.66760375749149</v>
      </c>
      <c r="DS102" s="270">
        <f t="shared" si="49"/>
        <v>1.7985852289153404E-3</v>
      </c>
      <c r="DT102" s="270">
        <f t="shared" si="50"/>
        <v>0.93158820516457475</v>
      </c>
      <c r="DU102" s="270">
        <f t="shared" si="51"/>
        <v>23.000513582480416</v>
      </c>
      <c r="DW102" s="278"/>
      <c r="DX102" s="278" t="s">
        <v>597</v>
      </c>
      <c r="DY102" s="281">
        <f>SUM(DR102:DR104)+SUM(DU102:DU104)</f>
        <v>1015.9124778310843</v>
      </c>
      <c r="DZ102" s="281">
        <f>SUM(DS102:DS104)+SUM(DT102:DT104)</f>
        <v>4.0407674368039794</v>
      </c>
      <c r="EC102" s="412" t="s">
        <v>15</v>
      </c>
      <c r="ED102" s="412" t="s">
        <v>573</v>
      </c>
      <c r="EE102" s="412">
        <v>10028.5581</v>
      </c>
      <c r="EF102" s="412">
        <v>4.6576536899844041E-2</v>
      </c>
      <c r="EG102" s="413">
        <v>859008</v>
      </c>
      <c r="EH102" s="414">
        <f t="shared" si="52"/>
        <v>348.25418581241325</v>
      </c>
      <c r="EI102" s="415">
        <f t="shared" si="53"/>
        <v>1.3851726447595212</v>
      </c>
      <c r="EJ102" s="402">
        <v>0</v>
      </c>
      <c r="EM102" s="278" t="s">
        <v>15</v>
      </c>
      <c r="EN102" s="278" t="s">
        <v>573</v>
      </c>
      <c r="EO102" s="278">
        <v>10028.5581</v>
      </c>
      <c r="EP102" s="278">
        <v>4.6576536899844041E-2</v>
      </c>
      <c r="EQ102" s="289">
        <v>859008</v>
      </c>
      <c r="ER102" s="290">
        <f t="shared" si="34"/>
        <v>348.25418581241325</v>
      </c>
      <c r="ES102" s="291">
        <f t="shared" si="35"/>
        <v>1.3851726447595212</v>
      </c>
      <c r="ET102" s="402">
        <v>0</v>
      </c>
      <c r="EV102" s="34"/>
      <c r="EW102" s="34"/>
      <c r="EX102" s="34"/>
      <c r="EY102" s="34"/>
      <c r="EZ102" s="378"/>
      <c r="FA102" s="401"/>
      <c r="FB102" s="402"/>
      <c r="FC102" s="402"/>
    </row>
    <row r="103" spans="1:159" ht="25">
      <c r="A103" s="205" t="s">
        <v>492</v>
      </c>
      <c r="B103" s="203" t="s">
        <v>491</v>
      </c>
      <c r="C103" s="400">
        <f>'A.일산테크노밸리(859991)_수정'!$P36*KTDB_TripDistribution_2025!T$12</f>
        <v>70.706467661691477</v>
      </c>
      <c r="D103" s="400">
        <f>'A.일산테크노밸리(859991)_수정'!$P36*KTDB_TripDistribution_2025!U$12</f>
        <v>511.71717171717182</v>
      </c>
      <c r="E103" s="400">
        <f>'A.일산테크노밸리(859991)_수정'!$P36*KTDB_TripDistribution_2025!V$12</f>
        <v>29.355947535051957</v>
      </c>
      <c r="F103" s="400">
        <f>'A.일산테크노밸리(859991)_수정'!$P36*KTDB_TripDistribution_2025!W$12</f>
        <v>4.6132971506105659E-2</v>
      </c>
      <c r="G103" s="400">
        <f>'A.일산테크노밸리(859991)_수정'!$P36*KTDB_TripDistribution_2025!X$12</f>
        <v>0.174280114578622</v>
      </c>
      <c r="H103" s="400">
        <f>'A.일산테크노밸리(859991)_수정'!$P36*KTDB_TripDistribution_2025!Y$12</f>
        <v>612.00000000000011</v>
      </c>
      <c r="J103" s="230">
        <f t="shared" si="54"/>
        <v>612.00000000000011</v>
      </c>
      <c r="K103" s="206"/>
      <c r="L103" s="210" t="s">
        <v>487</v>
      </c>
      <c r="M103" s="213">
        <f>INDEX($A$95:$H$107,MATCH($L103,$B$95:$B$107,0),MATCH($M$94,$A$95:$H$95,0))*고양시_Modal_split!C$3 * 0.01</f>
        <v>0.19797810945273611</v>
      </c>
      <c r="N103" s="213">
        <f>INDEX($A$95:$H$107,MATCH($L103,$B$95:$B$107,0),MATCH($M$94,$A$95:$H$95,0))*고양시_Modal_split!D$3 * 0.01</f>
        <v>33.253251741293504</v>
      </c>
      <c r="O103" s="213">
        <f>INDEX($A$95:$H$107,MATCH($L103,$B$95:$B$107,0),MATCH($M$94,$A$95:$H$95,0))*고양시_Modal_split!E$3 * 0.01</f>
        <v>4.0231980099502449</v>
      </c>
      <c r="P103" s="213">
        <f>INDEX($A$95:$H$107,MATCH($L103,$B$95:$B$107,0),MATCH($M$94,$A$95:$H$95,0))*고양시_Modal_split!F$3 * 0.01</f>
        <v>6.4837830845771087</v>
      </c>
      <c r="Q103" s="213">
        <f>INDEX($A$95:$H$107,MATCH($L103,$B$95:$B$107,0),MATCH($M$94,$A$95:$H$95,0))*고양시_Modal_split!G$3 * 0.01</f>
        <v>0.6504995024875615</v>
      </c>
      <c r="R103" s="213">
        <f>INDEX($A$95:$H$107,MATCH($L103,$B$95:$B$107,0),MATCH($M$94,$A$95:$H$95,0))*고양시_Modal_split!H$3 * 0.01</f>
        <v>7.070646766169148E-3</v>
      </c>
      <c r="S103" s="213">
        <f>INDEX($A$95:$H$107,MATCH($L103,$B$95:$B$107,0),MATCH($M$94,$A$95:$H$95,0))*고양시_Modal_split!I$3 * 0.01</f>
        <v>1.9656398009950229</v>
      </c>
      <c r="T103" s="213">
        <f>INDEX($A$95:$H$107,MATCH($L103,$B$95:$B$107,0),MATCH($M$94,$A$95:$H$95,0))*고양시_Modal_split!J$3 * 0.01</f>
        <v>21.523048756218888</v>
      </c>
      <c r="U103" s="213">
        <f>INDEX($A$95:$H$107,MATCH($L103,$B$95:$B$107,0),MATCH($M$94,$A$95:$H$95,0))*고양시_Modal_split!K$3 * 0.01</f>
        <v>0.10605970149253721</v>
      </c>
      <c r="V103" s="213">
        <f>INDEX($A$95:$H$107,MATCH($L103,$B$95:$B$107,0),MATCH($M$94,$A$95:$H$95,0))*고양시_Modal_split!L$3 * 0.01</f>
        <v>2.1353353233830825</v>
      </c>
      <c r="W103" s="213">
        <f>INDEX($A$95:$H$107,MATCH($L103,$B$95:$B$107,0),MATCH($M$94,$A$95:$H$95,0))*고양시_Modal_split!M$3 * 0.01</f>
        <v>0.16262487562189037</v>
      </c>
      <c r="X103" s="213">
        <f>INDEX($A$95:$H$107,MATCH($L103,$B$95:$B$107,0),MATCH($M$94,$A$95:$H$95,0))*고양시_Modal_split!N$3 * 0.01</f>
        <v>7.0706467661691474E-2</v>
      </c>
      <c r="Y103" s="213">
        <f>INDEX($A$95:$H$107,MATCH($L103,$B$95:$B$107,0),MATCH($M$94,$A$95:$H$95,0))*고양시_Modal_split!O$3 * 0.01</f>
        <v>0.12727164179104464</v>
      </c>
      <c r="Z103" s="213">
        <f>INDEX($A$95:$H$107,MATCH($L103,$B$95:$B$107,0),MATCH($M$94,$A$95:$H$95,0))*고양시_Modal_split!P$3 * 0.01</f>
        <v>70.706467661691477</v>
      </c>
      <c r="AA103" s="213">
        <f>INDEX($A$95:$H$107,MATCH($L103,$B$95:$B$107,0),MATCH($AA$94,$A$95:$H$95,0))*고양시_Modal_split!C$4 * 0.01</f>
        <v>155.7667070707071</v>
      </c>
      <c r="AB103" s="213">
        <f>INDEX($A$95:$H$107,MATCH($L103,$B$95:$B$107,0),MATCH($AA$94,$A$95:$H$95,0))*고양시_Modal_split!D$4 * 0.01</f>
        <v>164.107696969697</v>
      </c>
      <c r="AC103" s="213">
        <f>INDEX($A$95:$H$107,MATCH($L103,$B$95:$B$107,0),MATCH($AA$94,$A$95:$H$95,0))*고양시_Modal_split!E$4 * 0.01</f>
        <v>39.76042424242425</v>
      </c>
      <c r="AD103" s="213">
        <f>INDEX($A$95:$H$107,MATCH($L103,$B$95:$B$107,0),MATCH($AA$94,$A$95:$H$95,0))*고양시_Modal_split!F$4 * 0.01</f>
        <v>4.8613131313131319</v>
      </c>
      <c r="AE103" s="213">
        <f>INDEX($A$95:$H$107,MATCH($L103,$B$95:$B$107,0),MATCH($AA$94,$A$95:$H$95,0))*고양시_Modal_split!G$4 * 0.01</f>
        <v>59.922080808080821</v>
      </c>
      <c r="AF103" s="213">
        <f>INDEX($A$95:$H$107,MATCH($L103,$B$95:$B$107,0),MATCH($AA$94,$A$95:$H$95,0))*고양시_Modal_split!H$4 * 0.01</f>
        <v>0</v>
      </c>
      <c r="AG103" s="213">
        <f>INDEX($A$95:$H$107,MATCH($L103,$B$95:$B$107,0),MATCH($AA$94,$A$95:$H$95,0))*고양시_Modal_split!I$4 * 0.01</f>
        <v>17.807757575757577</v>
      </c>
      <c r="AH103" s="213">
        <f>INDEX($A$95:$H$107,MATCH($L103,$B$95:$B$107,0),MATCH($AA$94,$A$95:$H$95,0))*고양시_Modal_split!J$4 * 0.01</f>
        <v>24.101878787878793</v>
      </c>
      <c r="AI103" s="213">
        <f>INDEX($A$95:$H$107,MATCH($L103,$B$95:$B$107,0),MATCH($AA$94,$A$95:$H$95,0))*고양시_Modal_split!K$4 * 0.01</f>
        <v>0</v>
      </c>
      <c r="AJ103" s="213">
        <f>INDEX($A$95:$H$107,MATCH($L103,$B$95:$B$107,0),MATCH($AA$94,$A$95:$H$95,0))*고양시_Modal_split!L$4 * 0.01</f>
        <v>23.641333333333336</v>
      </c>
      <c r="AK103" s="213">
        <f>INDEX($A$95:$H$107,MATCH($L103,$B$95:$B$107,0),MATCH($AA$94,$A$95:$H$95,0))*고양시_Modal_split!M$4 * 0.01</f>
        <v>3.4285050505050516</v>
      </c>
      <c r="AL103" s="213">
        <f>INDEX($A$95:$H$107,MATCH($L103,$B$95:$B$107,0),MATCH($AA$94,$A$95:$H$95,0))*고양시_Modal_split!N$4 * 0.01</f>
        <v>12.792929292929296</v>
      </c>
      <c r="AM103" s="213">
        <f>INDEX($A$95:$H$107,MATCH($L103,$B$95:$B$107,0),MATCH($AA$94,$A$95:$H$95,0))*고양시_Modal_split!O$4 * 0.01</f>
        <v>5.5265454545454569</v>
      </c>
      <c r="AN103" s="213">
        <f>INDEX($A$95:$H$107,MATCH($L103,$B$95:$B$107,0),MATCH($AA$94,$A$95:$H$95,0))*고양시_Modal_split!P$4 * 0.01</f>
        <v>511.71717171717182</v>
      </c>
      <c r="AO103" s="213">
        <f>INDEX($A$95:$H$107,MATCH($L103,$B$95:$B$107,0),MATCH($AO$94,$A$95:$H$95,0))*고양시_Modal_split!C$5 * 0.01</f>
        <v>1.7613568521031173E-2</v>
      </c>
      <c r="AP103" s="213">
        <f>INDEX($A$95:$H$107,MATCH($L103,$B$95:$B$107,0),MATCH($AO$94,$A$95:$H$95,0))*고양시_Modal_split!D$5 * 0.01</f>
        <v>21.512038353686076</v>
      </c>
      <c r="AQ103" s="213">
        <f>INDEX($A$95:$H$107,MATCH($L103,$B$95:$B$107,0),MATCH($AO$94,$A$95:$H$95,0))*고양시_Modal_split!E$5 * 0.01</f>
        <v>2.8915608322026181</v>
      </c>
      <c r="AR103" s="213">
        <f>INDEX($A$95:$H$107,MATCH($L103,$B$95:$B$107,0),MATCH($AO$94,$A$95:$H$95,0))*고양시_Modal_split!F$5 * 0.01</f>
        <v>0.61647489823609114</v>
      </c>
      <c r="AS103" s="213">
        <f>INDEX($A$95:$H$107,MATCH($L103,$B$95:$B$107,0),MATCH($AO$94,$A$95:$H$95,0))*고양시_Modal_split!G$5 * 0.01</f>
        <v>0.19081365897783772</v>
      </c>
      <c r="AT103" s="213">
        <f>INDEX($A$95:$H$107,MATCH($L103,$B$95:$B$107,0),MATCH($AO$94,$A$95:$H$95,0))*고양시_Modal_split!H$5 * 0.01</f>
        <v>2.0549163274536368E-2</v>
      </c>
      <c r="AU103" s="213">
        <f>INDEX($A$95:$H$107,MATCH($L103,$B$95:$B$107,0),MATCH($AO$94,$A$95:$H$95,0))*고양시_Modal_split!I$5 * 0.01</f>
        <v>0.81315974672093916</v>
      </c>
      <c r="AV103" s="213">
        <f>INDEX($A$95:$H$107,MATCH($L103,$B$95:$B$107,0),MATCH($AO$94,$A$95:$H$95,0))*고양시_Modal_split!J$5 * 0.01</f>
        <v>1.840617910447758</v>
      </c>
      <c r="AW103" s="213">
        <f>INDEX($A$95:$H$107,MATCH($L103,$B$95:$B$107,0),MATCH($AO$94,$A$95:$H$95,0))*고양시_Modal_split!K$5 * 0.01</f>
        <v>5.8711895070103918E-3</v>
      </c>
      <c r="AX103" s="213">
        <f>INDEX($A$95:$H$107,MATCH($L103,$B$95:$B$107,0),MATCH($AO$94,$A$95:$H$95,0))*고양시_Modal_split!L$5 * 0.01</f>
        <v>0.7485766621438249</v>
      </c>
      <c r="AY103" s="213">
        <f>INDEX($A$95:$H$107,MATCH($L103,$B$95:$B$107,0),MATCH($AO$94,$A$95:$H$95,0))*고양시_Modal_split!M$5 * 0.01</f>
        <v>0.19668484848484813</v>
      </c>
      <c r="AZ103" s="213">
        <f>INDEX($A$95:$H$107,MATCH($L103,$B$95:$B$107,0),MATCH($AO$94,$A$95:$H$95,0))*고양시_Modal_split!N$5 * 0.01</f>
        <v>4.9905110809588323E-2</v>
      </c>
      <c r="BA103" s="213">
        <f>INDEX($A$95:$H$107,MATCH($L103,$B$95:$B$107,0),MATCH($AO$94,$A$95:$H$95,0))*고양시_Modal_split!O$5 * 0.01</f>
        <v>0.4520815920398002</v>
      </c>
      <c r="BB103" s="213">
        <f>INDEX($A$95:$H$107,MATCH($L103,$B$95:$B$107,0),MATCH($AO$94,$A$95:$H$95,0))*고양시_Modal_split!P$5 * 0.01</f>
        <v>29.35594753505195</v>
      </c>
      <c r="BC103" s="213">
        <f>INDEX($A$95:$H$107,MATCH($L103,$B$95:$B$107,0),MATCH($BC$94,$A$95:$H$95,0))*고양시_Modal_split!C$6 * 0.01</f>
        <v>0</v>
      </c>
      <c r="BD103" s="207">
        <f>INDEX($A$95:$H$107,MATCH($L103,$B$95:$B$107,0),MATCH($BC$94,$A$95:$H$95,0))*고양시_Modal_split!D$6 * 0.01</f>
        <v>3.8202713704206095E-2</v>
      </c>
      <c r="BE103" s="207">
        <f>INDEX($A$95:$H$107,MATCH($L103,$B$95:$B$107,0),MATCH($BC$94,$A$95:$H$95,0))*고양시_Modal_split!E$6 * 0.01</f>
        <v>1.9837177747625436E-4</v>
      </c>
      <c r="BF103" s="207">
        <f>INDEX($A$95:$H$107,MATCH($L103,$B$95:$B$107,0),MATCH($BC$94,$A$95:$H$95,0))*고양시_Modal_split!F$6 * 0.01</f>
        <v>5.6282225237448908E-4</v>
      </c>
      <c r="BG103" s="207">
        <f>INDEX($A$95:$H$107,MATCH($L103,$B$95:$B$107,0),MATCH($BC$94,$A$95:$H$95,0))*고양시_Modal_split!G$6 * 0.01</f>
        <v>0</v>
      </c>
      <c r="BH103" s="207">
        <f>INDEX($A$95:$H$107,MATCH($L103,$B$95:$B$107,0),MATCH($BC$94,$A$95:$H$95,0))*고양시_Modal_split!H$6 * 0.01</f>
        <v>2.4496607869742108E-3</v>
      </c>
      <c r="BI103" s="207">
        <f>INDEX($A$95:$H$107,MATCH($L103,$B$95:$B$107,0),MATCH($BC$94,$A$95:$H$95,0))*고양시_Modal_split!I$6 * 0.01</f>
        <v>1.6331071913161404E-3</v>
      </c>
      <c r="BJ103" s="207">
        <f>INDEX($A$95:$H$107,MATCH($L103,$B$95:$B$107,0),MATCH($BC$94,$A$95:$H$95,0))*고양시_Modal_split!J$6 * 0.01</f>
        <v>2.2789687924016193E-3</v>
      </c>
      <c r="BK103" s="207">
        <f>INDEX($A$95:$H$107,MATCH($L103,$B$95:$B$107,0),MATCH($BC$94,$A$95:$H$95,0))*고양시_Modal_split!K$6 * 0.01</f>
        <v>0</v>
      </c>
      <c r="BL103" s="207">
        <f>INDEX($A$95:$H$107,MATCH($L103,$B$95:$B$107,0),MATCH($BC$94,$A$95:$H$95,0))*고양시_Modal_split!L$6 * 0.01</f>
        <v>3.5061058344640301E-4</v>
      </c>
      <c r="BM103" s="207">
        <f>INDEX($A$95:$H$107,MATCH($L103,$B$95:$B$107,0),MATCH($BC$94,$A$95:$H$95,0))*고양시_Modal_split!M$6 * 0.01</f>
        <v>4.1981004070556154E-4</v>
      </c>
      <c r="BN103" s="207">
        <f>INDEX($A$95:$H$107,MATCH($L103,$B$95:$B$107,0),MATCH($BC$94,$A$95:$H$95,0))*고양시_Modal_split!N$6 * 0.01</f>
        <v>0</v>
      </c>
      <c r="BO103" s="207">
        <f>INDEX($A$95:$H$107,MATCH($L103,$B$95:$B$107,0),MATCH($BC$94,$A$95:$H$95,0))*고양시_Modal_split!O$6 * 0.01</f>
        <v>3.6906377204884531E-5</v>
      </c>
      <c r="BP103" s="214">
        <f>INDEX($A$95:$H$107,MATCH($L103,$B$95:$B$107,0),MATCH($BC$94,$A$95:$H$95,0))*고양시_Modal_split!P$6 * 0.01</f>
        <v>4.6132971506105659E-2</v>
      </c>
      <c r="BQ103" s="213">
        <f>INDEX($A$95:$H$107,MATCH($L103,$B$95:$B$107,0),MATCH($BQ$94,$A$95:$H$95,0))*고양시_Modal_split!C$7 * 0.01</f>
        <v>0</v>
      </c>
      <c r="BR103" s="213">
        <f>INDEX($A$95:$H$107,MATCH($L103,$B$95:$B$107,0),MATCH($BQ$94,$A$95:$H$95,0))*고양시_Modal_split!D$7 * 0.01</f>
        <v>0.10679885421377958</v>
      </c>
      <c r="BS103" s="213">
        <f>INDEX($A$95:$H$107,MATCH($L103,$B$95:$B$107,0),MATCH($BQ$94,$A$95:$H$95,0))*고양시_Modal_split!E$7 * 0.01</f>
        <v>5.2109754259007969E-3</v>
      </c>
      <c r="BT103" s="213">
        <f>INDEX($A$95:$H$107,MATCH($L103,$B$95:$B$107,0),MATCH($BQ$94,$A$95:$H$95,0))*고양시_Modal_split!F$7 * 0.01</f>
        <v>1.7428011457862201E-3</v>
      </c>
      <c r="BU103" s="213">
        <f>INDEX($A$95:$H$107,MATCH($L103,$B$95:$B$107,0),MATCH($BQ$94,$A$95:$H$95,0))*고양시_Modal_split!G$7 * 0.01</f>
        <v>7.3197648123021243E-4</v>
      </c>
      <c r="BV103" s="213">
        <f>INDEX($A$95:$H$107,MATCH($L103,$B$95:$B$107,0),MATCH($BQ$94,$A$95:$H$95,0))*고양시_Modal_split!H$7 * 0.01</f>
        <v>9.7422584049449684E-3</v>
      </c>
      <c r="BW103" s="213">
        <f>INDEX($A$95:$H$107,MATCH($L103,$B$95:$B$107,0),MATCH($BQ$94,$A$95:$H$95,0))*고양시_Modal_split!I$7 * 0.01</f>
        <v>3.2538097391828731E-2</v>
      </c>
      <c r="BX103" s="213">
        <f>INDEX($A$95:$H$107,MATCH($L103,$B$95:$B$107,0),MATCH($BQ$94,$A$95:$H$95,0))*고양시_Modal_split!J$7 * 0.01</f>
        <v>3.4856022915724405E-5</v>
      </c>
      <c r="BY103" s="213">
        <f>INDEX($A$95:$H$107,MATCH($L103,$B$95:$B$107,0),MATCH($BQ$94,$A$95:$H$95,0))*고양시_Modal_split!K$7 * 0.01</f>
        <v>1.3419568822553893E-2</v>
      </c>
      <c r="BZ103" s="213">
        <f>INDEX($A$95:$H$107,MATCH($L103,$B$95:$B$107,0),MATCH($BQ$94,$A$95:$H$95,0))*고양시_Modal_split!L$7 * 0.01</f>
        <v>1.2199608020503539E-4</v>
      </c>
      <c r="CA103" s="213">
        <f>INDEX($A$95:$H$107,MATCH($L103,$B$95:$B$107,0),MATCH($BQ$94,$A$95:$H$95,0))*고양시_Modal_split!M$7 * 0.01</f>
        <v>3.2590381426202313E-3</v>
      </c>
      <c r="CB103" s="213">
        <f>INDEX($A$95:$H$107,MATCH($L103,$B$95:$B$107,0),MATCH($BQ$94,$A$95:$H$95,0))*고양시_Modal_split!N$7 * 0.01</f>
        <v>6.7969244685662567E-4</v>
      </c>
      <c r="CC103" s="213">
        <f>INDEX($A$95:$H$107,MATCH($L103,$B$95:$B$107,0),MATCH($BQ$94,$A$95:$H$95,0))*고양시_Modal_split!O$7 * 0.01</f>
        <v>0</v>
      </c>
      <c r="CD103" s="213">
        <f>INDEX($A$95:$H$107,MATCH($L103,$B$95:$B$107,0),MATCH($BQ$94,$A$95:$H$95,0))*고양시_Modal_split!P$7 * 0.01</f>
        <v>0.17428011457862203</v>
      </c>
      <c r="CE103" s="218">
        <f t="shared" si="55"/>
        <v>155.98229874868088</v>
      </c>
      <c r="CF103" s="208">
        <f t="shared" si="36"/>
        <v>219.01798863259458</v>
      </c>
      <c r="CG103" s="208">
        <f t="shared" si="37"/>
        <v>46.680592431780497</v>
      </c>
      <c r="CH103" s="208">
        <f t="shared" si="38"/>
        <v>11.963876737524494</v>
      </c>
      <c r="CI103" s="208">
        <f t="shared" si="39"/>
        <v>60.764125946027455</v>
      </c>
      <c r="CJ103" s="208">
        <f t="shared" si="40"/>
        <v>3.9811729232624694E-2</v>
      </c>
      <c r="CK103" s="208">
        <f t="shared" si="41"/>
        <v>20.620728328056686</v>
      </c>
      <c r="CL103" s="208">
        <f t="shared" si="42"/>
        <v>47.467859279360752</v>
      </c>
      <c r="CM103" s="208">
        <f t="shared" si="43"/>
        <v>0.1253504598221015</v>
      </c>
      <c r="CN103" s="208">
        <f t="shared" si="44"/>
        <v>26.525717925523896</v>
      </c>
      <c r="CO103" s="208">
        <f t="shared" si="45"/>
        <v>3.7914936227951155</v>
      </c>
      <c r="CP103" s="208">
        <f t="shared" si="46"/>
        <v>12.914220563847433</v>
      </c>
      <c r="CQ103" s="208">
        <f t="shared" si="47"/>
        <v>6.1059355947535066</v>
      </c>
      <c r="CR103" s="219">
        <f t="shared" si="48"/>
        <v>612.00000000000011</v>
      </c>
      <c r="CS103" s="225">
        <f t="shared" si="56"/>
        <v>0</v>
      </c>
      <c r="CV103" s="265"/>
      <c r="CW103" s="271" t="s">
        <v>487</v>
      </c>
      <c r="CX103" s="267">
        <f>INDEX($M$94:$Z$107,MATCH($CW103,$L$94:$L$107,0),MATCH(CX$95,$M$95:$Z$95,0))/INDEX(고양시_재차인원!$D$4:$H$35,MATCH("고양시",고양시_재차인원!$B$4:$B$35,0),MATCH('A.일산테크노밸리(859991)_수정'!$CX$94,고양시_재차인원!$D$4:$H$4,0))</f>
        <v>29.690403340440625</v>
      </c>
      <c r="CY103" s="267">
        <f>INDEX($M$94:$Z$107,MATCH($CW103,$L$94:$L$107,0),MATCH(CY$95,$M$95:$Z$95,0))/INDEX(고양시_재차인원!$K$4:$O$20,MATCH("경기도",고양시_재차인원!$K$4:$K$20,0),MATCH('A.일산테크노밸리(859991)_수정'!CY$95,고양시_재차인원!$K$4:$O$4,0))</f>
        <v>2.4559384391000861E-4</v>
      </c>
      <c r="CZ103" s="267">
        <f>INDEX($M$94:$Z$107,MATCH($CW103,$L$94:$L$107,0),MATCH(CZ$95,$M$95:$Z$95,0))/INDEX(고양시_재차인원!$K$4:$O$20,MATCH("경기도",고양시_재차인원!$K$4:$K$20,0),MATCH('A.일산테크노밸리(859991)_수정'!CZ$95,고양시_재차인원!$K$4:$O$4,0))</f>
        <v>6.8275088606982393E-2</v>
      </c>
      <c r="DA103" s="267">
        <f>INDEX($M$94:$Z$107,MATCH($CW103,$L$94:$L$107,0),MATCH(DA$95,$M$95:$Z$95,0))/INDEX(고양시_재차인원!$K$4:$O$20,MATCH("경기도",고양시_재차인원!$K$4:$K$20,0),MATCH('A.일산테크노밸리(859991)_수정'!DA$95,고양시_재차인원!$K$4:$O$4,0))</f>
        <v>1.4235568822553883</v>
      </c>
      <c r="DB103" s="268">
        <f>INDEX($AA$94:$AN$107,MATCH($CW103,$L$94:$L$107,0),MATCH(DB$95,$AA$95:$AN$95,0))/INDEX(고양시_재차인원!$D$4:$H$35,MATCH("고양시",고양시_재차인원!$B$4:$B$35,0),MATCH('A.일산테크노밸리(859991)_수정'!$DB$94,고양시_재차인원!$D$4:$H$4,0))</f>
        <v>116.38843756716101</v>
      </c>
      <c r="DC103" s="267">
        <f>INDEX($AA$94:$AN$107,MATCH($CW103,$L$94:$L$107,0),MATCH(DC$95,$AA$95:$AN$95,0))/INDEX(고양시_재차인원!$K$4:$O$20,MATCH("경기도",고양시_재차인원!$K$4:$K$20,0),MATCH('A.일산테크노밸리(859991)_수정'!DC$95,고양시_재차인원!$K$4:$O$4,0))</f>
        <v>0</v>
      </c>
      <c r="DD103" s="267">
        <f>INDEX($AA$94:$AN$107,MATCH($CW103,$L$94:$L$107,0),MATCH(DD$95,$AA$95:$AN$95,0))/INDEX(고양시_재차인원!$K$4:$O$20,MATCH("경기도",고양시_재차인원!$K$4:$K$20,0),MATCH('A.일산테크노밸리(859991)_수정'!DD$95,고양시_재차인원!$K$4:$O$4,0))</f>
        <v>0.61853968654941227</v>
      </c>
      <c r="DE103" s="267">
        <f>INDEX($AA$94:$AN$107,MATCH($CW103,$L$94:$L$107,0),MATCH(DE$95,$AA$95:$AN$95,0))/INDEX(고양시_재차인원!$K$4:$O$20,MATCH("경기도",고양시_재차인원!$K$4:$K$20,0),MATCH('A.일산테크노밸리(859991)_수정'!DE$95,고양시_재차인원!$K$4:$O$4,0))</f>
        <v>15.760888888888891</v>
      </c>
      <c r="DF103" s="268">
        <f>INDEX($AO$94:$BB$107,MATCH($CW103,$L$94:$L$107,0),MATCH(DF$95,$AO$95:$BB$95,0))/INDEX(고양시_재차인원!$D$4:$H$35,MATCH("고양시",고양시_재차인원!$B$4:$B$35,0),MATCH('A.일산테크노밸리(859991)_수정'!$DF$94,고양시_재차인원!$D$4:$H$4,0))</f>
        <v>16.547721810527751</v>
      </c>
      <c r="DG103" s="267">
        <f>INDEX($AO$94:$BB$107,MATCH($CW103,$L$94:$L$107,0),MATCH(DG$95,$AO$95:$BB$95,0))/INDEX(고양시_재차인원!$K$4:$O$20,MATCH("경기도",고양시_재차인원!$K$4:$K$20,0),MATCH('A.일산테크노밸리(859991)_수정'!DG$95,고양시_재차인원!$K$4:$O$4,0))</f>
        <v>7.1376044718778639E-4</v>
      </c>
      <c r="DH103" s="267">
        <f>INDEX($AO$94:$BB$107,MATCH($CW103,$L$94:$L$107,0),MATCH(DH$95,$AO$95:$BB$95,0))/INDEX(고양시_재차인원!$K$4:$O$20,MATCH("경기도",고양시_재차인원!$K$4:$K$20,0),MATCH('A.일산테크노밸리(859991)_수정'!DH$95,고양시_재차인원!$K$4:$O$4,0))</f>
        <v>2.8244520553002403E-2</v>
      </c>
      <c r="DI103" s="267">
        <f>INDEX($AO$94:$BB$107,MATCH($CW103,$L$94:$L$107,0),MATCH(DI$95,$AO$95:$BB$95,0))/INDEX(고양시_재차인원!$K$4:$O$20,MATCH("경기도",고양시_재차인원!$K$4:$K$20,0),MATCH('A.일산테크노밸리(859991)_수정'!DI$95,고양시_재차인원!$K$4:$O$4,0))</f>
        <v>0.49905110809588327</v>
      </c>
      <c r="DJ103" s="268">
        <f>INDEX($BC$94:$BP$107,MATCH($CW103,$L$94:$L$107,0),MATCH(DJ$95,$BC$95:$BP$95,0))/INDEX(고양시_재차인원!$D$4:$H$35,MATCH("고양시",고양시_재차인원!$B$4:$B$35,0),MATCH('A.일산테크노밸리(859991)_수정'!$DJ$94,고양시_재차인원!$D$4:$H$4,0))</f>
        <v>2.809023066485742E-2</v>
      </c>
      <c r="DK103" s="267">
        <f>INDEX($BC$94:$BP$107,MATCH($CW103,$L$94:$L$107,0),MATCH(DK$95,$BC$95:$BP$95,0))/INDEX(고양시_재차인원!$K$4:$O$20,MATCH("경기도",고양시_재차인원!$K$4:$K$20,0),MATCH('A.일산테크노밸리(859991)_수정'!DK$95,고양시_재차인원!$K$4:$O$4,0))</f>
        <v>8.5087210384654773E-5</v>
      </c>
      <c r="DL103" s="267">
        <f>INDEX($BC$94:$BP$107,MATCH($CW103,$L$94:$L$107,0),MATCH(DL$95,$BC$95:$BP$95,0))/INDEX(고양시_재차인원!$K$4:$O$20,MATCH("경기도",고양시_재차인원!$K$4:$K$20,0),MATCH('A.일산테크노밸리(859991)_수정'!DL$95,고양시_재차인원!$K$4:$O$4,0))</f>
        <v>5.672480692310318E-5</v>
      </c>
      <c r="DM103" s="267">
        <f>INDEX($BC$94:$BP$107,MATCH($CW103,$L$94:$L$107,0),MATCH(DM$95,$BC$95:$BP$95,0))/INDEX(고양시_재차인원!$K$4:$O$20,MATCH("경기도",고양시_재차인원!$K$4:$K$20,0),MATCH('A.일산테크노밸리(859991)_수정'!DM$95,고양시_재차인원!$K$4:$O$4,0))</f>
        <v>2.3374038896426867E-4</v>
      </c>
      <c r="DN103" s="268">
        <f>INDEX($BQ$94:$CD$107,MATCH($CW103,$L$94:$L$107,0),MATCH(DN$95,$BQ$95:$CD$95,0))/INDEX(고양시_재차인원!$D$4:$H$35,MATCH("고양시",고양시_재차인원!$B$4:$B$35,0),MATCH('A.일산테크노밸리(859991)_수정'!$DN$94,고양시_재차인원!$D$4:$H$4,0))</f>
        <v>8.4760995407761566E-2</v>
      </c>
      <c r="DO103" s="267">
        <f>INDEX($BQ$94:$CD$107,MATCH($CW103,$L$94:$L$107,0),MATCH(DO$95,$BQ$95:$CD$95,0))/INDEX(고양시_재차인원!$K$4:$O$20,MATCH("경기도",고양시_재차인원!$K$4:$K$20,0),MATCH('A.일산테크노밸리(859991)_수정'!DO$95,고양시_재차인원!$K$4:$O$4,0))</f>
        <v>3.3839035793487211E-4</v>
      </c>
      <c r="DP103" s="267">
        <f>INDEX($BQ$94:$CD$107,MATCH($CW103,$L$94:$L$107,0),MATCH(DP$95,$BQ$95:$CD$95,0))/INDEX(고양시_재차인원!$K$4:$O$20,MATCH("경기도",고양시_재차인원!$K$4:$K$20,0),MATCH('A.일산테크노밸리(859991)_수정'!DP$95,고양시_재차인원!$K$4:$O$4,0))</f>
        <v>1.1301874745338219E-3</v>
      </c>
      <c r="DQ103" s="267">
        <f>INDEX($BQ$94:$CD$107,MATCH($CW103,$L$94:$L$107,0),MATCH(DQ$95,$BQ$95:$CD$95,0))/INDEX(고양시_재차인원!$K$4:$O$20,MATCH("경기도",고양시_재차인원!$K$4:$K$20,0),MATCH('A.일산테크노밸리(859991)_수정'!DQ$95,고양시_재차인원!$K$4:$O$4,0))</f>
        <v>8.1330720136690266E-5</v>
      </c>
      <c r="DR103" s="269">
        <f t="shared" si="57"/>
        <v>162.73941394420197</v>
      </c>
      <c r="DS103" s="270">
        <f t="shared" si="49"/>
        <v>1.382831859417322E-3</v>
      </c>
      <c r="DT103" s="270">
        <f t="shared" si="50"/>
        <v>0.71624620799085403</v>
      </c>
      <c r="DU103" s="270">
        <f t="shared" si="51"/>
        <v>17.683811950349263</v>
      </c>
      <c r="DW103" s="278"/>
      <c r="DX103" s="278" t="s">
        <v>596</v>
      </c>
      <c r="DY103" s="281">
        <f>DR105+DU105</f>
        <v>321.63682916822785</v>
      </c>
      <c r="DZ103" s="281">
        <f>DS105+DT105</f>
        <v>1.2793027491448463</v>
      </c>
      <c r="EC103" s="412" t="s">
        <v>15</v>
      </c>
      <c r="ED103" s="412" t="s">
        <v>574</v>
      </c>
      <c r="EE103" s="412">
        <v>21685.084499999997</v>
      </c>
      <c r="EF103" s="412">
        <v>0.10071399380839066</v>
      </c>
      <c r="EG103" s="413">
        <v>859009</v>
      </c>
      <c r="EH103" s="414">
        <f t="shared" si="52"/>
        <v>753.04160094768577</v>
      </c>
      <c r="EI103" s="415">
        <f t="shared" si="53"/>
        <v>2.9952048489103031</v>
      </c>
      <c r="EJ103" s="402">
        <v>0</v>
      </c>
      <c r="EM103" s="278" t="s">
        <v>15</v>
      </c>
      <c r="EN103" s="278" t="s">
        <v>574</v>
      </c>
      <c r="EO103" s="278">
        <v>21685.084499999997</v>
      </c>
      <c r="EP103" s="278">
        <v>0.10071399380839066</v>
      </c>
      <c r="EQ103" s="289">
        <v>859009</v>
      </c>
      <c r="ER103" s="290">
        <f t="shared" si="34"/>
        <v>753.04160094768577</v>
      </c>
      <c r="ES103" s="291">
        <f t="shared" si="35"/>
        <v>2.9952048489103031</v>
      </c>
      <c r="ET103" s="402">
        <v>0</v>
      </c>
      <c r="EV103" s="34"/>
      <c r="EW103" s="34"/>
      <c r="EX103" s="34"/>
      <c r="EY103" s="34"/>
      <c r="EZ103" s="378"/>
      <c r="FA103" s="401"/>
      <c r="FB103" s="402"/>
      <c r="FC103" s="402"/>
    </row>
    <row r="104" spans="1:159">
      <c r="A104" s="205" t="s">
        <v>492</v>
      </c>
      <c r="B104" s="203" t="s">
        <v>23</v>
      </c>
      <c r="C104" s="400">
        <f>'A.일산테크노밸리(859991)_수정'!$P37*KTDB_TripDistribution_2025!T$12</f>
        <v>235.45715865118828</v>
      </c>
      <c r="D104" s="400">
        <f>'A.일산테크노밸리(859991)_수정'!$P37*KTDB_TripDistribution_2025!U$12</f>
        <v>1704.0516273849612</v>
      </c>
      <c r="E104" s="400">
        <f>'A.일산테크노밸리(859991)_수정'!$P37*KTDB_TripDistribution_2025!V$12</f>
        <v>97.757223981104389</v>
      </c>
      <c r="F104" s="400">
        <f>'A.일산테크노밸리(859991)_수정'!$P37*KTDB_TripDistribution_2025!W$12</f>
        <v>0.15362581034222766</v>
      </c>
      <c r="G104" s="400">
        <f>'A.일산테크노밸리(859991)_수정'!$P37*KTDB_TripDistribution_2025!X$12</f>
        <v>0.58036417240397331</v>
      </c>
      <c r="H104" s="400">
        <f>'A.일산테크노밸리(859991)_수정'!$P37*KTDB_TripDistribution_2025!Y$12</f>
        <v>2038.0000000000005</v>
      </c>
      <c r="J104" s="230">
        <f t="shared" si="54"/>
        <v>2038</v>
      </c>
      <c r="K104" s="206"/>
      <c r="L104" s="210" t="s">
        <v>23</v>
      </c>
      <c r="M104" s="213">
        <f>INDEX($A$95:$H$107,MATCH($L104,$B$95:$B$107,0),MATCH($M$94,$A$95:$H$95,0))*고양시_Modal_split!C$3 * 0.01</f>
        <v>0.65928004422332709</v>
      </c>
      <c r="N104" s="213">
        <f>INDEX($A$95:$H$107,MATCH($L104,$B$95:$B$107,0),MATCH($M$94,$A$95:$H$95,0))*고양시_Modal_split!D$3 * 0.01</f>
        <v>110.73550171365385</v>
      </c>
      <c r="O104" s="213">
        <f>INDEX($A$95:$H$107,MATCH($L104,$B$95:$B$107,0),MATCH($M$94,$A$95:$H$95,0))*고양시_Modal_split!E$3 * 0.01</f>
        <v>13.397512327252612</v>
      </c>
      <c r="P104" s="213">
        <f>INDEX($A$95:$H$107,MATCH($L104,$B$95:$B$107,0),MATCH($M$94,$A$95:$H$95,0))*고양시_Modal_split!F$3 * 0.01</f>
        <v>21.591421448313962</v>
      </c>
      <c r="Q104" s="213">
        <f>INDEX($A$95:$H$107,MATCH($L104,$B$95:$B$107,0),MATCH($M$94,$A$95:$H$95,0))*고양시_Modal_split!G$3 * 0.01</f>
        <v>2.1662058595909319</v>
      </c>
      <c r="R104" s="213">
        <f>INDEX($A$95:$H$107,MATCH($L104,$B$95:$B$107,0),MATCH($M$94,$A$95:$H$95,0))*고양시_Modal_split!H$3 * 0.01</f>
        <v>2.3545715865118833E-2</v>
      </c>
      <c r="S104" s="213">
        <f>INDEX($A$95:$H$107,MATCH($L104,$B$95:$B$107,0),MATCH($M$94,$A$95:$H$95,0))*고양시_Modal_split!I$3 * 0.01</f>
        <v>6.5457090105030344</v>
      </c>
      <c r="T104" s="213">
        <f>INDEX($A$95:$H$107,MATCH($L104,$B$95:$B$107,0),MATCH($M$94,$A$95:$H$95,0))*고양시_Modal_split!J$3 * 0.01</f>
        <v>71.673159093421717</v>
      </c>
      <c r="U104" s="213">
        <f>INDEX($A$95:$H$107,MATCH($L104,$B$95:$B$107,0),MATCH($M$94,$A$95:$H$95,0))*고양시_Modal_split!K$3 * 0.01</f>
        <v>0.35318573797678243</v>
      </c>
      <c r="V104" s="213">
        <f>INDEX($A$95:$H$107,MATCH($L104,$B$95:$B$107,0),MATCH($M$94,$A$95:$H$95,0))*고양시_Modal_split!L$3 * 0.01</f>
        <v>7.1108061912658869</v>
      </c>
      <c r="W104" s="213">
        <f>INDEX($A$95:$H$107,MATCH($L104,$B$95:$B$107,0),MATCH($M$94,$A$95:$H$95,0))*고양시_Modal_split!M$3 * 0.01</f>
        <v>0.54155146489773298</v>
      </c>
      <c r="X104" s="213">
        <f>INDEX($A$95:$H$107,MATCH($L104,$B$95:$B$107,0),MATCH($M$94,$A$95:$H$95,0))*고양시_Modal_split!N$3 * 0.01</f>
        <v>0.2354571586511883</v>
      </c>
      <c r="Y104" s="213">
        <f>INDEX($A$95:$H$107,MATCH($L104,$B$95:$B$107,0),MATCH($M$94,$A$95:$H$95,0))*고양시_Modal_split!O$3 * 0.01</f>
        <v>0.42382288557213893</v>
      </c>
      <c r="Z104" s="213">
        <f>INDEX($A$95:$H$107,MATCH($L104,$B$95:$B$107,0),MATCH($M$94,$A$95:$H$95,0))*고양시_Modal_split!P$3 * 0.01</f>
        <v>235.45715865118831</v>
      </c>
      <c r="AA104" s="213">
        <f>INDEX($A$95:$H$107,MATCH($L104,$B$95:$B$107,0),MATCH($AA$94,$A$95:$H$95,0))*고양시_Modal_split!C$4 * 0.01</f>
        <v>518.71331537598223</v>
      </c>
      <c r="AB104" s="213">
        <f>INDEX($A$95:$H$107,MATCH($L104,$B$95:$B$107,0),MATCH($AA$94,$A$95:$H$95,0))*고양시_Modal_split!D$4 * 0.01</f>
        <v>546.48935690235703</v>
      </c>
      <c r="AC104" s="213">
        <f>INDEX($A$95:$H$107,MATCH($L104,$B$95:$B$107,0),MATCH($AA$94,$A$95:$H$95,0))*고양시_Modal_split!E$4 * 0.01</f>
        <v>132.40481144781151</v>
      </c>
      <c r="AD104" s="213">
        <f>INDEX($A$95:$H$107,MATCH($L104,$B$95:$B$107,0),MATCH($AA$94,$A$95:$H$95,0))*고양시_Modal_split!F$4 * 0.01</f>
        <v>16.188490460157134</v>
      </c>
      <c r="AE104" s="213">
        <f>INDEX($A$95:$H$107,MATCH($L104,$B$95:$B$107,0),MATCH($AA$94,$A$95:$H$95,0))*고양시_Modal_split!G$4 * 0.01</f>
        <v>199.54444556677893</v>
      </c>
      <c r="AF104" s="213">
        <f>INDEX($A$95:$H$107,MATCH($L104,$B$95:$B$107,0),MATCH($AA$94,$A$95:$H$95,0))*고양시_Modal_split!H$4 * 0.01</f>
        <v>0</v>
      </c>
      <c r="AG104" s="213">
        <f>INDEX($A$95:$H$107,MATCH($L104,$B$95:$B$107,0),MATCH($AA$94,$A$95:$H$95,0))*고양시_Modal_split!I$4 * 0.01</f>
        <v>59.300996632996643</v>
      </c>
      <c r="AH104" s="213">
        <f>INDEX($A$95:$H$107,MATCH($L104,$B$95:$B$107,0),MATCH($AA$94,$A$95:$H$95,0))*고양시_Modal_split!J$4 * 0.01</f>
        <v>80.260831649831673</v>
      </c>
      <c r="AI104" s="213">
        <f>INDEX($A$95:$H$107,MATCH($L104,$B$95:$B$107,0),MATCH($AA$94,$A$95:$H$95,0))*고양시_Modal_split!K$4 * 0.01</f>
        <v>0</v>
      </c>
      <c r="AJ104" s="213">
        <f>INDEX($A$95:$H$107,MATCH($L104,$B$95:$B$107,0),MATCH($AA$94,$A$95:$H$95,0))*고양시_Modal_split!L$4 * 0.01</f>
        <v>78.727185185185206</v>
      </c>
      <c r="AK104" s="213">
        <f>INDEX($A$95:$H$107,MATCH($L104,$B$95:$B$107,0),MATCH($AA$94,$A$95:$H$95,0))*고양시_Modal_split!M$4 * 0.01</f>
        <v>11.417145903479241</v>
      </c>
      <c r="AL104" s="213">
        <f>INDEX($A$95:$H$107,MATCH($L104,$B$95:$B$107,0),MATCH($AA$94,$A$95:$H$95,0))*고양시_Modal_split!N$4 * 0.01</f>
        <v>42.601290684624026</v>
      </c>
      <c r="AM104" s="213">
        <f>INDEX($A$95:$H$107,MATCH($L104,$B$95:$B$107,0),MATCH($AA$94,$A$95:$H$95,0))*고양시_Modal_split!O$4 * 0.01</f>
        <v>18.403757575757581</v>
      </c>
      <c r="AN104" s="213">
        <f>INDEX($A$95:$H$107,MATCH($L104,$B$95:$B$107,0),MATCH($AA$94,$A$95:$H$95,0))*고양시_Modal_split!P$4 * 0.01</f>
        <v>1704.0516273849612</v>
      </c>
      <c r="AO104" s="213">
        <f>INDEX($A$95:$H$107,MATCH($L104,$B$95:$B$107,0),MATCH($AO$94,$A$95:$H$95,0))*고양시_Modal_split!C$5 * 0.01</f>
        <v>5.8654334388662632E-2</v>
      </c>
      <c r="AP104" s="213">
        <f>INDEX($A$95:$H$107,MATCH($L104,$B$95:$B$107,0),MATCH($AO$94,$A$95:$H$95,0))*고양시_Modal_split!D$5 * 0.01</f>
        <v>71.636493733353305</v>
      </c>
      <c r="AQ104" s="213">
        <f>INDEX($A$95:$H$107,MATCH($L104,$B$95:$B$107,0),MATCH($AO$94,$A$95:$H$95,0))*고양시_Modal_split!E$5 * 0.01</f>
        <v>9.6290865621387827</v>
      </c>
      <c r="AR104" s="213">
        <f>INDEX($A$95:$H$107,MATCH($L104,$B$95:$B$107,0),MATCH($AO$94,$A$95:$H$95,0))*고양시_Modal_split!F$5 * 0.01</f>
        <v>2.0529017036031925</v>
      </c>
      <c r="AS104" s="213">
        <f>INDEX($A$95:$H$107,MATCH($L104,$B$95:$B$107,0),MATCH($AO$94,$A$95:$H$95,0))*고양시_Modal_split!G$5 * 0.01</f>
        <v>0.63542195587717853</v>
      </c>
      <c r="AT104" s="213">
        <f>INDEX($A$95:$H$107,MATCH($L104,$B$95:$B$107,0),MATCH($AO$94,$A$95:$H$95,0))*고양시_Modal_split!H$5 * 0.01</f>
        <v>6.8430056786773066E-2</v>
      </c>
      <c r="AU104" s="213">
        <f>INDEX($A$95:$H$107,MATCH($L104,$B$95:$B$107,0),MATCH($AO$94,$A$95:$H$95,0))*고양시_Modal_split!I$5 * 0.01</f>
        <v>2.7078751042765918</v>
      </c>
      <c r="AV104" s="213">
        <f>INDEX($A$95:$H$107,MATCH($L104,$B$95:$B$107,0),MATCH($AO$94,$A$95:$H$95,0))*고양시_Modal_split!J$5 * 0.01</f>
        <v>6.1293779436152453</v>
      </c>
      <c r="AW104" s="213">
        <f>INDEX($A$95:$H$107,MATCH($L104,$B$95:$B$107,0),MATCH($AO$94,$A$95:$H$95,0))*고양시_Modal_split!K$5 * 0.01</f>
        <v>1.9551444796220879E-2</v>
      </c>
      <c r="AX104" s="213">
        <f>INDEX($A$95:$H$107,MATCH($L104,$B$95:$B$107,0),MATCH($AO$94,$A$95:$H$95,0))*고양시_Modal_split!L$5 * 0.01</f>
        <v>2.4928092115181619</v>
      </c>
      <c r="AY104" s="213">
        <f>INDEX($A$95:$H$107,MATCH($L104,$B$95:$B$107,0),MATCH($AO$94,$A$95:$H$95,0))*고양시_Modal_split!M$5 * 0.01</f>
        <v>0.65497340067339949</v>
      </c>
      <c r="AZ104" s="213">
        <f>INDEX($A$95:$H$107,MATCH($L104,$B$95:$B$107,0),MATCH($AO$94,$A$95:$H$95,0))*고양시_Modal_split!N$5 * 0.01</f>
        <v>0.16618728076787745</v>
      </c>
      <c r="BA104" s="213">
        <f>INDEX($A$95:$H$107,MATCH($L104,$B$95:$B$107,0),MATCH($AO$94,$A$95:$H$95,0))*고양시_Modal_split!O$5 * 0.01</f>
        <v>1.5054612493090076</v>
      </c>
      <c r="BB104" s="213">
        <f>INDEX($A$95:$H$107,MATCH($L104,$B$95:$B$107,0),MATCH($AO$94,$A$95:$H$95,0))*고양시_Modal_split!P$5 * 0.01</f>
        <v>97.757223981104389</v>
      </c>
      <c r="BC104" s="213">
        <f>INDEX($A$95:$H$107,MATCH($L104,$B$95:$B$107,0),MATCH($BC$94,$A$95:$H$95,0))*고양시_Modal_split!C$6 * 0.01</f>
        <v>0</v>
      </c>
      <c r="BD104" s="207">
        <f>INDEX($A$95:$H$107,MATCH($L104,$B$95:$B$107,0),MATCH($BC$94,$A$95:$H$95,0))*고양시_Modal_split!D$6 * 0.01</f>
        <v>0.12721753354439871</v>
      </c>
      <c r="BE104" s="207">
        <f>INDEX($A$95:$H$107,MATCH($L104,$B$95:$B$107,0),MATCH($BC$94,$A$95:$H$95,0))*고양시_Modal_split!E$6 * 0.01</f>
        <v>6.6059098447157887E-4</v>
      </c>
      <c r="BF104" s="207">
        <f>INDEX($A$95:$H$107,MATCH($L104,$B$95:$B$107,0),MATCH($BC$94,$A$95:$H$95,0))*고양시_Modal_split!F$6 * 0.01</f>
        <v>1.8742348861751775E-3</v>
      </c>
      <c r="BG104" s="207">
        <f>INDEX($A$95:$H$107,MATCH($L104,$B$95:$B$107,0),MATCH($BC$94,$A$95:$H$95,0))*고양시_Modal_split!G$6 * 0.01</f>
        <v>0</v>
      </c>
      <c r="BH104" s="207">
        <f>INDEX($A$95:$H$107,MATCH($L104,$B$95:$B$107,0),MATCH($BC$94,$A$95:$H$95,0))*고양시_Modal_split!H$6 * 0.01</f>
        <v>8.1575305291722907E-3</v>
      </c>
      <c r="BI104" s="207">
        <f>INDEX($A$95:$H$107,MATCH($L104,$B$95:$B$107,0),MATCH($BC$94,$A$95:$H$95,0))*고양시_Modal_split!I$6 * 0.01</f>
        <v>5.4383536861148593E-3</v>
      </c>
      <c r="BJ104" s="207">
        <f>INDEX($A$95:$H$107,MATCH($L104,$B$95:$B$107,0),MATCH($BC$94,$A$95:$H$95,0))*고양시_Modal_split!J$6 * 0.01</f>
        <v>7.5891150309060464E-3</v>
      </c>
      <c r="BK104" s="207">
        <f>INDEX($A$95:$H$107,MATCH($L104,$B$95:$B$107,0),MATCH($BC$94,$A$95:$H$95,0))*고양시_Modal_split!K$6 * 0.01</f>
        <v>0</v>
      </c>
      <c r="BL104" s="207">
        <f>INDEX($A$95:$H$107,MATCH($L104,$B$95:$B$107,0),MATCH($BC$94,$A$95:$H$95,0))*고양시_Modal_split!L$6 * 0.01</f>
        <v>1.1675561586009303E-3</v>
      </c>
      <c r="BM104" s="207">
        <f>INDEX($A$95:$H$107,MATCH($L104,$B$95:$B$107,0),MATCH($BC$94,$A$95:$H$95,0))*고양시_Modal_split!M$6 * 0.01</f>
        <v>1.3979948741142717E-3</v>
      </c>
      <c r="BN104" s="207">
        <f>INDEX($A$95:$H$107,MATCH($L104,$B$95:$B$107,0),MATCH($BC$94,$A$95:$H$95,0))*고양시_Modal_split!N$6 * 0.01</f>
        <v>0</v>
      </c>
      <c r="BO104" s="207">
        <f>INDEX($A$95:$H$107,MATCH($L104,$B$95:$B$107,0),MATCH($BC$94,$A$95:$H$95,0))*고양시_Modal_split!O$6 * 0.01</f>
        <v>1.2290064827378213E-4</v>
      </c>
      <c r="BP104" s="214">
        <f>INDEX($A$95:$H$107,MATCH($L104,$B$95:$B$107,0),MATCH($BC$94,$A$95:$H$95,0))*고양시_Modal_split!P$6 * 0.01</f>
        <v>0.15362581034222766</v>
      </c>
      <c r="BQ104" s="213">
        <f>INDEX($A$95:$H$107,MATCH($L104,$B$95:$B$107,0),MATCH($BQ$94,$A$95:$H$95,0))*고양시_Modal_split!C$7 * 0.01</f>
        <v>0</v>
      </c>
      <c r="BR104" s="213">
        <f>INDEX($A$95:$H$107,MATCH($L104,$B$95:$B$107,0),MATCH($BQ$94,$A$95:$H$95,0))*고양시_Modal_split!D$7 * 0.01</f>
        <v>0.35564716484915487</v>
      </c>
      <c r="BS104" s="213">
        <f>INDEX($A$95:$H$107,MATCH($L104,$B$95:$B$107,0),MATCH($BQ$94,$A$95:$H$95,0))*고양시_Modal_split!E$7 * 0.01</f>
        <v>1.7352888754878802E-2</v>
      </c>
      <c r="BT104" s="213">
        <f>INDEX($A$95:$H$107,MATCH($L104,$B$95:$B$107,0),MATCH($BQ$94,$A$95:$H$95,0))*고양시_Modal_split!F$7 * 0.01</f>
        <v>5.8036417240397336E-3</v>
      </c>
      <c r="BU104" s="213">
        <f>INDEX($A$95:$H$107,MATCH($L104,$B$95:$B$107,0),MATCH($BQ$94,$A$95:$H$95,0))*고양시_Modal_split!G$7 * 0.01</f>
        <v>2.4375295240966878E-3</v>
      </c>
      <c r="BV104" s="213">
        <f>INDEX($A$95:$H$107,MATCH($L104,$B$95:$B$107,0),MATCH($BQ$94,$A$95:$H$95,0))*고양시_Modal_split!H$7 * 0.01</f>
        <v>3.2442357237382112E-2</v>
      </c>
      <c r="BW104" s="213">
        <f>INDEX($A$95:$H$107,MATCH($L104,$B$95:$B$107,0),MATCH($BQ$94,$A$95:$H$95,0))*고양시_Modal_split!I$7 * 0.01</f>
        <v>0.10835399098782184</v>
      </c>
      <c r="BX104" s="213">
        <f>INDEX($A$95:$H$107,MATCH($L104,$B$95:$B$107,0),MATCH($BQ$94,$A$95:$H$95,0))*고양시_Modal_split!J$7 * 0.01</f>
        <v>1.1607283448079467E-4</v>
      </c>
      <c r="BY104" s="213">
        <f>INDEX($A$95:$H$107,MATCH($L104,$B$95:$B$107,0),MATCH($BQ$94,$A$95:$H$95,0))*고양시_Modal_split!K$7 * 0.01</f>
        <v>4.4688041275105943E-2</v>
      </c>
      <c r="BZ104" s="213">
        <f>INDEX($A$95:$H$107,MATCH($L104,$B$95:$B$107,0),MATCH($BQ$94,$A$95:$H$95,0))*고양시_Modal_split!L$7 * 0.01</f>
        <v>4.0625492068278125E-4</v>
      </c>
      <c r="CA104" s="213">
        <f>INDEX($A$95:$H$107,MATCH($L104,$B$95:$B$107,0),MATCH($BQ$94,$A$95:$H$95,0))*고양시_Modal_split!M$7 * 0.01</f>
        <v>1.0852810023954303E-2</v>
      </c>
      <c r="CB104" s="213">
        <f>INDEX($A$95:$H$107,MATCH($L104,$B$95:$B$107,0),MATCH($BQ$94,$A$95:$H$95,0))*고양시_Modal_split!N$7 * 0.01</f>
        <v>2.2634202723754958E-3</v>
      </c>
      <c r="CC104" s="213">
        <f>INDEX($A$95:$H$107,MATCH($L104,$B$95:$B$107,0),MATCH($BQ$94,$A$95:$H$95,0))*고양시_Modal_split!O$7 * 0.01</f>
        <v>0</v>
      </c>
      <c r="CD104" s="213">
        <f>INDEX($A$95:$H$107,MATCH($L104,$B$95:$B$107,0),MATCH($BQ$94,$A$95:$H$95,0))*고양시_Modal_split!P$7 * 0.01</f>
        <v>0.58036417240397331</v>
      </c>
      <c r="CE104" s="218">
        <f t="shared" si="55"/>
        <v>519.43124975459421</v>
      </c>
      <c r="CF104" s="208">
        <f t="shared" si="36"/>
        <v>729.34421704775775</v>
      </c>
      <c r="CG104" s="208">
        <f t="shared" si="37"/>
        <v>155.44942381694224</v>
      </c>
      <c r="CH104" s="208">
        <f t="shared" si="38"/>
        <v>39.840491488684499</v>
      </c>
      <c r="CI104" s="208">
        <f t="shared" si="39"/>
        <v>202.34851091177114</v>
      </c>
      <c r="CJ104" s="208">
        <f t="shared" si="40"/>
        <v>0.13257566041844629</v>
      </c>
      <c r="CK104" s="208">
        <f t="shared" si="41"/>
        <v>68.66837309245021</v>
      </c>
      <c r="CL104" s="208">
        <f t="shared" si="42"/>
        <v>158.07107387473403</v>
      </c>
      <c r="CM104" s="208">
        <f t="shared" si="43"/>
        <v>0.41742522404810928</v>
      </c>
      <c r="CN104" s="208">
        <f t="shared" si="44"/>
        <v>88.332374399048547</v>
      </c>
      <c r="CO104" s="208">
        <f t="shared" si="45"/>
        <v>12.625921573948443</v>
      </c>
      <c r="CP104" s="208">
        <f t="shared" si="46"/>
        <v>43.005198544315469</v>
      </c>
      <c r="CQ104" s="208">
        <f t="shared" si="47"/>
        <v>20.333164611287003</v>
      </c>
      <c r="CR104" s="219">
        <f t="shared" si="48"/>
        <v>2038</v>
      </c>
      <c r="CS104" s="225">
        <f t="shared" si="56"/>
        <v>0</v>
      </c>
      <c r="CV104" s="265"/>
      <c r="CW104" s="271" t="s">
        <v>23</v>
      </c>
      <c r="CX104" s="267">
        <f>INDEX($M$94:$Z$107,MATCH($CW104,$L$94:$L$107,0),MATCH(CX$95,$M$95:$Z$95,0))/INDEX(고양시_재차인원!$D$4:$H$35,MATCH("고양시",고양시_재차인원!$B$4:$B$35,0),MATCH('A.일산테크노밸리(859991)_수정'!$CX$94,고양시_재차인원!$D$4:$H$4,0))</f>
        <v>98.870983672905211</v>
      </c>
      <c r="CY104" s="267">
        <f>INDEX($M$94:$Z$107,MATCH($CW104,$L$94:$L$107,0),MATCH(CY$95,$M$95:$Z$95,0))/INDEX(고양시_재차인원!$K$4:$O$20,MATCH("경기도",고양시_재차인원!$K$4:$K$20,0),MATCH('A.일산테크노밸리(859991)_수정'!CY$95,고양시_재차인원!$K$4:$O$4,0))</f>
        <v>8.1784355210555166E-4</v>
      </c>
      <c r="CZ104" s="267">
        <f>INDEX($M$94:$Z$107,MATCH($CW104,$L$94:$L$107,0),MATCH(CZ$95,$M$95:$Z$95,0))/INDEX(고양시_재차인원!$K$4:$O$20,MATCH("경기도",고양시_재차인원!$K$4:$K$20,0),MATCH('A.일산테크노밸리(859991)_수정'!CZ$95,고양시_재차인원!$K$4:$O$4,0))</f>
        <v>0.22736050748534334</v>
      </c>
      <c r="DA104" s="267">
        <f>INDEX($M$94:$Z$107,MATCH($CW104,$L$94:$L$107,0),MATCH(DA$95,$M$95:$Z$95,0))/INDEX(고양시_재차인원!$K$4:$O$20,MATCH("경기도",고양시_재차인원!$K$4:$K$20,0),MATCH('A.일산테크노밸리(859991)_수정'!DA$95,고양시_재차인원!$K$4:$O$4,0))</f>
        <v>4.7405374608439246</v>
      </c>
      <c r="DB104" s="268">
        <f>INDEX($AA$94:$AN$107,MATCH($CW104,$L$94:$L$107,0),MATCH(DB$95,$AA$95:$AN$95,0))/INDEX(고양시_재차인원!$D$4:$H$35,MATCH("고양시",고양시_재차인원!$B$4:$B$35,0),MATCH('A.일산테크노밸리(859991)_수정'!$DB$94,고양시_재차인원!$D$4:$H$4,0))</f>
        <v>387.58110418606884</v>
      </c>
      <c r="DC104" s="267">
        <f>INDEX($AA$94:$AN$107,MATCH($CW104,$L$94:$L$107,0),MATCH(DC$95,$AA$95:$AN$95,0))/INDEX(고양시_재차인원!$K$4:$O$20,MATCH("경기도",고양시_재차인원!$K$4:$K$20,0),MATCH('A.일산테크노밸리(859991)_수정'!DC$95,고양시_재차인원!$K$4:$O$4,0))</f>
        <v>0</v>
      </c>
      <c r="DD104" s="267">
        <f>INDEX($AA$94:$AN$107,MATCH($CW104,$L$94:$L$107,0),MATCH(DD$95,$AA$95:$AN$95,0))/INDEX(고양시_재차인원!$K$4:$O$20,MATCH("경기도",고양시_재차인원!$K$4:$K$20,0),MATCH('A.일산테크노밸리(859991)_수정'!DD$95,고양시_재차인원!$K$4:$O$4,0))</f>
        <v>2.0597775836400363</v>
      </c>
      <c r="DE104" s="267">
        <f>INDEX($AA$94:$AN$107,MATCH($CW104,$L$94:$L$107,0),MATCH(DE$95,$AA$95:$AN$95,0))/INDEX(고양시_재차인원!$K$4:$O$20,MATCH("경기도",고양시_재차인원!$K$4:$K$20,0),MATCH('A.일산테크노밸리(859991)_수정'!DE$95,고양시_재차인원!$K$4:$O$4,0))</f>
        <v>52.484790123456804</v>
      </c>
      <c r="DF104" s="268">
        <f>INDEX($AO$94:$BB$107,MATCH($CW104,$L$94:$L$107,0),MATCH(DF$95,$AO$95:$BB$95,0))/INDEX(고양시_재차인원!$D$4:$H$35,MATCH("고양시",고양시_재차인원!$B$4:$B$35,0),MATCH('A.일산테크노밸리(859991)_수정'!$DF$94,고양시_재차인원!$D$4:$H$4,0))</f>
        <v>55.104995179502538</v>
      </c>
      <c r="DG104" s="267">
        <f>INDEX($AO$94:$BB$107,MATCH($CW104,$L$94:$L$107,0),MATCH(DG$95,$AO$95:$BB$95,0))/INDEX(고양시_재차인원!$K$4:$O$20,MATCH("경기도",고양시_재차인원!$K$4:$K$20,0),MATCH('A.일산테크노밸리(859991)_수정'!DG$95,고양시_재차인원!$K$4:$O$4,0))</f>
        <v>2.3768689401449487E-3</v>
      </c>
      <c r="DH104" s="267">
        <f>INDEX($AO$94:$BB$107,MATCH($CW104,$L$94:$L$107,0),MATCH(DH$95,$AO$95:$BB$95,0))/INDEX(고양시_재차인원!$K$4:$O$20,MATCH("경기도",고양시_재차인원!$K$4:$K$20,0),MATCH('A.일산테크노밸리(859991)_수정'!DH$95,고양시_재차인원!$K$4:$O$4,0))</f>
        <v>9.4056099488592976E-2</v>
      </c>
      <c r="DI104" s="267">
        <f>INDEX($AO$94:$BB$107,MATCH($CW104,$L$94:$L$107,0),MATCH(DI$95,$AO$95:$BB$95,0))/INDEX(고양시_재차인원!$K$4:$O$20,MATCH("경기도",고양시_재차인원!$K$4:$K$20,0),MATCH('A.일산테크노밸리(859991)_수정'!DI$95,고양시_재차인원!$K$4:$O$4,0))</f>
        <v>1.6618728076787745</v>
      </c>
      <c r="DJ104" s="268">
        <f>INDEX($BC$94:$BP$107,MATCH($CW104,$L$94:$L$107,0),MATCH(DJ$95,$BC$95:$BP$95,0))/INDEX(고양시_재차인원!$D$4:$H$35,MATCH("고양시",고양시_재차인원!$B$4:$B$35,0),MATCH('A.일산테크노밸리(859991)_수정'!$DJ$94,고양시_재차인원!$D$4:$H$4,0))</f>
        <v>9.3542304076763755E-2</v>
      </c>
      <c r="DK104" s="267">
        <f>INDEX($BC$94:$BP$107,MATCH($CW104,$L$94:$L$107,0),MATCH(DK$95,$BC$95:$BP$95,0))/INDEX(고양시_재차인원!$K$4:$O$20,MATCH("경기도",고양시_재차인원!$K$4:$K$20,0),MATCH('A.일산테크노밸리(859991)_수정'!DK$95,고양시_재차인원!$K$4:$O$4,0))</f>
        <v>2.8334597183648109E-4</v>
      </c>
      <c r="DL104" s="267">
        <f>INDEX($BC$94:$BP$107,MATCH($CW104,$L$94:$L$107,0),MATCH(DL$95,$BC$95:$BP$95,0))/INDEX(고양시_재차인원!$K$4:$O$20,MATCH("경기도",고양시_재차인원!$K$4:$K$20,0),MATCH('A.일산테크노밸리(859991)_수정'!DL$95,고양시_재차인원!$K$4:$O$4,0))</f>
        <v>1.8889731455765403E-4</v>
      </c>
      <c r="DM104" s="267">
        <f>INDEX($BC$94:$BP$107,MATCH($CW104,$L$94:$L$107,0),MATCH(DM$95,$BC$95:$BP$95,0))/INDEX(고양시_재차인원!$K$4:$O$20,MATCH("경기도",고양시_재차인원!$K$4:$K$20,0),MATCH('A.일산테크노밸리(859991)_수정'!DM$95,고양시_재차인원!$K$4:$O$4,0))</f>
        <v>7.7837077240062015E-4</v>
      </c>
      <c r="DN104" s="268">
        <f>INDEX($BQ$94:$CD$107,MATCH($CW104,$L$94:$L$107,0),MATCH(DN$95,$BQ$95:$CD$95,0))/INDEX(고양시_재차인원!$D$4:$H$35,MATCH("고양시",고양시_재차인원!$B$4:$B$35,0),MATCH('A.일산테크노밸리(859991)_수정'!$DN$94,고양시_재차인원!$D$4:$H$4,0))</f>
        <v>0.28225965464218639</v>
      </c>
      <c r="DO104" s="267">
        <f>INDEX($BQ$94:$CD$107,MATCH($CW104,$L$94:$L$107,0),MATCH(DO$95,$BQ$95:$CD$95,0))/INDEX(고양시_재차인원!$K$4:$O$20,MATCH("경기도",고양시_재차인원!$K$4:$K$20,0),MATCH('A.일산테크노밸리(859991)_수정'!DO$95,고양시_재차인원!$K$4:$O$4,0))</f>
        <v>1.126862008939983E-3</v>
      </c>
      <c r="DP104" s="267">
        <f>INDEX($BQ$94:$CD$107,MATCH($CW104,$L$94:$L$107,0),MATCH(DP$95,$BQ$95:$CD$95,0))/INDEX(고양시_재차인원!$K$4:$O$20,MATCH("경기도",고양시_재차인원!$K$4:$K$20,0),MATCH('A.일산테크노밸리(859991)_수정'!DP$95,고양시_재차인원!$K$4:$O$4,0))</f>
        <v>3.7635981586600152E-3</v>
      </c>
      <c r="DQ104" s="267">
        <f>INDEX($BQ$94:$CD$107,MATCH($CW104,$L$94:$L$107,0),MATCH(DQ$95,$BQ$95:$CD$95,0))/INDEX(고양시_재차인원!$K$4:$O$20,MATCH("경기도",고양시_재차인원!$K$4:$K$20,0),MATCH('A.일산테크노밸리(859991)_수정'!DQ$95,고양시_재차인원!$K$4:$O$4,0))</f>
        <v>2.7083661378852082E-4</v>
      </c>
      <c r="DR104" s="269">
        <f t="shared" si="57"/>
        <v>541.93288499719552</v>
      </c>
      <c r="DS104" s="270">
        <f t="shared" si="49"/>
        <v>4.604920473026965E-3</v>
      </c>
      <c r="DT104" s="270">
        <f t="shared" si="50"/>
        <v>2.3851466860871908</v>
      </c>
      <c r="DU104" s="270">
        <f t="shared" si="51"/>
        <v>58.888249599365693</v>
      </c>
      <c r="DW104" s="278"/>
      <c r="DX104" s="278" t="s">
        <v>482</v>
      </c>
      <c r="DY104" s="281">
        <f>DR106+DU106</f>
        <v>101.41436226752555</v>
      </c>
      <c r="DZ104" s="281">
        <f>DS106+DT106</f>
        <v>0.4033731857981917</v>
      </c>
      <c r="EC104" s="412" t="s">
        <v>15</v>
      </c>
      <c r="ED104" s="412" t="s">
        <v>575</v>
      </c>
      <c r="EE104" s="412">
        <v>10018.5584</v>
      </c>
      <c r="EF104" s="412">
        <v>4.6530094391220855E-2</v>
      </c>
      <c r="EG104" s="413">
        <v>859010</v>
      </c>
      <c r="EH104" s="414">
        <f t="shared" si="52"/>
        <v>347.90693376010995</v>
      </c>
      <c r="EI104" s="415">
        <f t="shared" si="53"/>
        <v>1.3837914580766817</v>
      </c>
      <c r="EJ104" s="402">
        <v>0</v>
      </c>
      <c r="EM104" s="278" t="s">
        <v>15</v>
      </c>
      <c r="EN104" s="278" t="s">
        <v>575</v>
      </c>
      <c r="EO104" s="278">
        <v>10018.5584</v>
      </c>
      <c r="EP104" s="278">
        <v>4.6530094391220855E-2</v>
      </c>
      <c r="EQ104" s="289">
        <v>859010</v>
      </c>
      <c r="ER104" s="290">
        <f t="shared" si="34"/>
        <v>347.90693376010995</v>
      </c>
      <c r="ES104" s="291">
        <f t="shared" si="35"/>
        <v>1.3837914580766817</v>
      </c>
      <c r="ET104" s="402">
        <v>0</v>
      </c>
      <c r="EV104" s="34"/>
      <c r="EW104" s="34"/>
      <c r="EX104" s="34"/>
      <c r="EY104" s="34"/>
      <c r="EZ104" s="378"/>
      <c r="FA104" s="401"/>
      <c r="FB104" s="402"/>
      <c r="FC104" s="402"/>
    </row>
    <row r="105" spans="1:159" ht="16.5" customHeight="1">
      <c r="A105" s="205"/>
      <c r="B105" s="205" t="s">
        <v>24</v>
      </c>
      <c r="C105" s="400">
        <f>'A.일산테크노밸리(859991)_수정'!$P38*KTDB_TripDistribution_2025!T$12</f>
        <v>126.04698728579314</v>
      </c>
      <c r="D105" s="400">
        <f>'A.일산테크노밸리(859991)_수정'!$P38*KTDB_TripDistribution_2025!U$12</f>
        <v>912.2278338945008</v>
      </c>
      <c r="E105" s="400">
        <f>'A.일산테크노밸리(859991)_수정'!$P38*KTDB_TripDistribution_2025!V$12</f>
        <v>52.332252877028893</v>
      </c>
      <c r="F105" s="400">
        <f>'A.일산테크노밸리(859991)_수정'!$P38*KTDB_TripDistribution_2025!W$12</f>
        <v>8.2240313583596847E-2</v>
      </c>
      <c r="G105" s="400">
        <f>'A.일산테크노밸리(859991)_수정'!$P38*KTDB_TripDistribution_2025!X$12</f>
        <v>0.31068562909358927</v>
      </c>
      <c r="H105" s="400">
        <f>'A.일산테크노밸리(859991)_수정'!$P38*KTDB_TripDistribution_2025!Y$12</f>
        <v>1091.0000000000002</v>
      </c>
      <c r="J105" s="230">
        <f t="shared" si="54"/>
        <v>1090.9999999999998</v>
      </c>
      <c r="K105" s="206"/>
      <c r="L105" s="209" t="s">
        <v>24</v>
      </c>
      <c r="M105" s="213">
        <f>INDEX($A$95:$H$107,MATCH($L105,$B$95:$B$107,0),MATCH($M$94,$A$95:$H$95,0))*고양시_Modal_split!C$3 * 0.01</f>
        <v>0.35293156440022072</v>
      </c>
      <c r="N105" s="213">
        <f>INDEX($A$95:$H$107,MATCH($L105,$B$95:$B$107,0),MATCH($M$94,$A$95:$H$95,0))*고양시_Modal_split!D$3 * 0.01</f>
        <v>59.279898120508513</v>
      </c>
      <c r="O105" s="213">
        <f>INDEX($A$95:$H$107,MATCH($L105,$B$95:$B$107,0),MATCH($M$94,$A$95:$H$95,0))*고양시_Modal_split!E$3 * 0.01</f>
        <v>7.1720735765616297</v>
      </c>
      <c r="P105" s="213">
        <f>INDEX($A$95:$H$107,MATCH($L105,$B$95:$B$107,0),MATCH($M$94,$A$95:$H$95,0))*고양시_Modal_split!F$3 * 0.01</f>
        <v>11.558508734107232</v>
      </c>
      <c r="Q105" s="213">
        <f>INDEX($A$95:$H$107,MATCH($L105,$B$95:$B$107,0),MATCH($M$94,$A$95:$H$95,0))*고양시_Modal_split!G$3 * 0.01</f>
        <v>1.1596322830292969</v>
      </c>
      <c r="R105" s="213">
        <f>INDEX($A$95:$H$107,MATCH($L105,$B$95:$B$107,0),MATCH($M$94,$A$95:$H$95,0))*고양시_Modal_split!H$3 * 0.01</f>
        <v>1.2604698728579314E-2</v>
      </c>
      <c r="S105" s="213">
        <f>INDEX($A$95:$H$107,MATCH($L105,$B$95:$B$107,0),MATCH($M$94,$A$95:$H$95,0))*고양시_Modal_split!I$3 * 0.01</f>
        <v>3.504106246545049</v>
      </c>
      <c r="T105" s="213">
        <f>INDEX($A$95:$H$107,MATCH($L105,$B$95:$B$107,0),MATCH($M$94,$A$95:$H$95,0))*고양시_Modal_split!J$3 * 0.01</f>
        <v>38.368702929795433</v>
      </c>
      <c r="U105" s="213">
        <f>INDEX($A$95:$H$107,MATCH($L105,$B$95:$B$107,0),MATCH($M$94,$A$95:$H$95,0))*고양시_Modal_split!K$3 * 0.01</f>
        <v>0.18907048092868969</v>
      </c>
      <c r="V105" s="213">
        <f>INDEX($A$95:$H$107,MATCH($L105,$B$95:$B$107,0),MATCH($M$94,$A$95:$H$95,0))*고양시_Modal_split!L$3 * 0.01</f>
        <v>3.8066190160309525</v>
      </c>
      <c r="W105" s="213">
        <f>INDEX($A$95:$H$107,MATCH($L105,$B$95:$B$107,0),MATCH($M$94,$A$95:$H$95,0))*고양시_Modal_split!M$3 * 0.01</f>
        <v>0.28990807075732422</v>
      </c>
      <c r="X105" s="213">
        <f>INDEX($A$95:$H$107,MATCH($L105,$B$95:$B$107,0),MATCH($M$94,$A$95:$H$95,0))*고양시_Modal_split!N$3 * 0.01</f>
        <v>0.12604698728579317</v>
      </c>
      <c r="Y105" s="213">
        <f>INDEX($A$95:$H$107,MATCH($L105,$B$95:$B$107,0),MATCH($M$94,$A$95:$H$95,0))*고양시_Modal_split!O$3 * 0.01</f>
        <v>0.22688457711442764</v>
      </c>
      <c r="Z105" s="213">
        <f>INDEX($A$95:$H$107,MATCH($L105,$B$95:$B$107,0),MATCH($M$94,$A$95:$H$95,0))*고양시_Modal_split!P$3 * 0.01</f>
        <v>126.04698728579314</v>
      </c>
      <c r="AA105" s="213">
        <f>INDEX($A$95:$H$107,MATCH($L105,$B$95:$B$107,0),MATCH($AA$94,$A$95:$H$95,0))*고양시_Modal_split!C$4 * 0.01</f>
        <v>277.68215263748607</v>
      </c>
      <c r="AB105" s="213">
        <f>INDEX($A$95:$H$107,MATCH($L105,$B$95:$B$107,0),MATCH($AA$94,$A$95:$H$95,0))*고양시_Modal_split!D$4 * 0.01</f>
        <v>292.55146632996644</v>
      </c>
      <c r="AC105" s="213">
        <f>INDEX($A$95:$H$107,MATCH($L105,$B$95:$B$107,0),MATCH($AA$94,$A$95:$H$95,0))*고양시_Modal_split!E$4 * 0.01</f>
        <v>70.880102693602723</v>
      </c>
      <c r="AD105" s="213">
        <f>INDEX($A$95:$H$107,MATCH($L105,$B$95:$B$107,0),MATCH($AA$94,$A$95:$H$95,0))*고양시_Modal_split!F$4 * 0.01</f>
        <v>8.6661644219977578</v>
      </c>
      <c r="AE105" s="213">
        <f>INDEX($A$95:$H$107,MATCH($L105,$B$95:$B$107,0),MATCH($AA$94,$A$95:$H$95,0))*고양시_Modal_split!G$4 * 0.01</f>
        <v>106.82187934904603</v>
      </c>
      <c r="AF105" s="213">
        <f>INDEX($A$95:$H$107,MATCH($L105,$B$95:$B$107,0),MATCH($AA$94,$A$95:$H$95,0))*고양시_Modal_split!H$4 * 0.01</f>
        <v>0</v>
      </c>
      <c r="AG105" s="213">
        <f>INDEX($A$95:$H$107,MATCH($L105,$B$95:$B$107,0),MATCH($AA$94,$A$95:$H$95,0))*고양시_Modal_split!I$4 * 0.01</f>
        <v>31.745528619528624</v>
      </c>
      <c r="AH105" s="213">
        <f>INDEX($A$95:$H$107,MATCH($L105,$B$95:$B$107,0),MATCH($AA$94,$A$95:$H$95,0))*고양시_Modal_split!J$4 * 0.01</f>
        <v>42.96593097643099</v>
      </c>
      <c r="AI105" s="213">
        <f>INDEX($A$95:$H$107,MATCH($L105,$B$95:$B$107,0),MATCH($AA$94,$A$95:$H$95,0))*고양시_Modal_split!K$4 * 0.01</f>
        <v>0</v>
      </c>
      <c r="AJ105" s="213">
        <f>INDEX($A$95:$H$107,MATCH($L105,$B$95:$B$107,0),MATCH($AA$94,$A$95:$H$95,0))*고양시_Modal_split!L$4 * 0.01</f>
        <v>42.144925925925939</v>
      </c>
      <c r="AK105" s="213">
        <f>INDEX($A$95:$H$107,MATCH($L105,$B$95:$B$107,0),MATCH($AA$94,$A$95:$H$95,0))*고양시_Modal_split!M$4 * 0.01</f>
        <v>6.1119264870931556</v>
      </c>
      <c r="AL105" s="213">
        <f>INDEX($A$95:$H$107,MATCH($L105,$B$95:$B$107,0),MATCH($AA$94,$A$95:$H$95,0))*고양시_Modal_split!N$4 * 0.01</f>
        <v>22.805695847362522</v>
      </c>
      <c r="AM105" s="213">
        <f>INDEX($A$95:$H$107,MATCH($L105,$B$95:$B$107,0),MATCH($AA$94,$A$95:$H$95,0))*고양시_Modal_split!O$4 * 0.01</f>
        <v>9.8520606060606095</v>
      </c>
      <c r="AN105" s="213">
        <f>INDEX($A$95:$H$107,MATCH($L105,$B$95:$B$107,0),MATCH($AA$94,$A$95:$H$95,0))*고양시_Modal_split!P$4 * 0.01</f>
        <v>912.2278338945008</v>
      </c>
      <c r="AO105" s="213">
        <f>INDEX($A$95:$H$107,MATCH($L105,$B$95:$B$107,0),MATCH($AO$94,$A$95:$H$95,0))*고양시_Modal_split!C$5 * 0.01</f>
        <v>3.1399351726217335E-2</v>
      </c>
      <c r="AP105" s="213">
        <f>INDEX($A$95:$H$107,MATCH($L105,$B$95:$B$107,0),MATCH($AO$94,$A$95:$H$95,0))*고양시_Modal_split!D$5 * 0.01</f>
        <v>38.349074908286774</v>
      </c>
      <c r="AQ105" s="213">
        <f>INDEX($A$95:$H$107,MATCH($L105,$B$95:$B$107,0),MATCH($AO$94,$A$95:$H$95,0))*고양시_Modal_split!E$5 * 0.01</f>
        <v>5.1547269083873459</v>
      </c>
      <c r="AR105" s="213">
        <f>INDEX($A$95:$H$107,MATCH($L105,$B$95:$B$107,0),MATCH($AO$94,$A$95:$H$95,0))*고양시_Modal_split!F$5 * 0.01</f>
        <v>1.0989773104176068</v>
      </c>
      <c r="AS105" s="213">
        <f>INDEX($A$95:$H$107,MATCH($L105,$B$95:$B$107,0),MATCH($AO$94,$A$95:$H$95,0))*고양시_Modal_split!G$5 * 0.01</f>
        <v>0.3401596437006878</v>
      </c>
      <c r="AT105" s="213">
        <f>INDEX($A$95:$H$107,MATCH($L105,$B$95:$B$107,0),MATCH($AO$94,$A$95:$H$95,0))*고양시_Modal_split!H$5 * 0.01</f>
        <v>3.6632577013920219E-2</v>
      </c>
      <c r="AU105" s="213">
        <f>INDEX($A$95:$H$107,MATCH($L105,$B$95:$B$107,0),MATCH($AO$94,$A$95:$H$95,0))*고양시_Modal_split!I$5 * 0.01</f>
        <v>1.4496034046937003</v>
      </c>
      <c r="AV105" s="213">
        <f>INDEX($A$95:$H$107,MATCH($L105,$B$95:$B$107,0),MATCH($AO$94,$A$95:$H$95,0))*고양시_Modal_split!J$5 * 0.01</f>
        <v>3.2812322553897117</v>
      </c>
      <c r="AW105" s="213">
        <f>INDEX($A$95:$H$107,MATCH($L105,$B$95:$B$107,0),MATCH($AO$94,$A$95:$H$95,0))*고양시_Modal_split!K$5 * 0.01</f>
        <v>1.0466450575405779E-2</v>
      </c>
      <c r="AX105" s="213">
        <f>INDEX($A$95:$H$107,MATCH($L105,$B$95:$B$107,0),MATCH($AO$94,$A$95:$H$95,0))*고양시_Modal_split!L$5 * 0.01</f>
        <v>1.3344724483642367</v>
      </c>
      <c r="AY105" s="213">
        <f>INDEX($A$95:$H$107,MATCH($L105,$B$95:$B$107,0),MATCH($AO$94,$A$95:$H$95,0))*고양시_Modal_split!M$5 * 0.01</f>
        <v>0.35062609427609359</v>
      </c>
      <c r="AZ105" s="213">
        <f>INDEX($A$95:$H$107,MATCH($L105,$B$95:$B$107,0),MATCH($AO$94,$A$95:$H$95,0))*고양시_Modal_split!N$5 * 0.01</f>
        <v>8.8964829890949115E-2</v>
      </c>
      <c r="BA105" s="213">
        <f>INDEX($A$95:$H$107,MATCH($L105,$B$95:$B$107,0),MATCH($AO$94,$A$95:$H$95,0))*고양시_Modal_split!O$5 * 0.01</f>
        <v>0.80591669430624491</v>
      </c>
      <c r="BB105" s="213">
        <f>INDEX($A$95:$H$107,MATCH($L105,$B$95:$B$107,0),MATCH($AO$94,$A$95:$H$95,0))*고양시_Modal_split!P$5 * 0.01</f>
        <v>52.332252877028886</v>
      </c>
      <c r="BC105" s="213">
        <f>INDEX($A$95:$H$107,MATCH($L105,$B$95:$B$107,0),MATCH($BC$94,$A$95:$H$95,0))*고양시_Modal_split!C$6 * 0.01</f>
        <v>0</v>
      </c>
      <c r="BD105" s="207">
        <f>INDEX($A$95:$H$107,MATCH($L105,$B$95:$B$107,0),MATCH($BC$94,$A$95:$H$95,0))*고양시_Modal_split!D$6 * 0.01</f>
        <v>6.8103203678576543E-2</v>
      </c>
      <c r="BE105" s="207">
        <f>INDEX($A$95:$H$107,MATCH($L105,$B$95:$B$107,0),MATCH($BC$94,$A$95:$H$95,0))*고양시_Modal_split!E$6 * 0.01</f>
        <v>3.5363334840946643E-4</v>
      </c>
      <c r="BF105" s="207">
        <f>INDEX($A$95:$H$107,MATCH($L105,$B$95:$B$107,0),MATCH($BC$94,$A$95:$H$95,0))*고양시_Modal_split!F$6 * 0.01</f>
        <v>1.0033318257198815E-3</v>
      </c>
      <c r="BG105" s="207">
        <f>INDEX($A$95:$H$107,MATCH($L105,$B$95:$B$107,0),MATCH($BC$94,$A$95:$H$95,0))*고양시_Modal_split!G$6 * 0.01</f>
        <v>0</v>
      </c>
      <c r="BH105" s="207">
        <f>INDEX($A$95:$H$107,MATCH($L105,$B$95:$B$107,0),MATCH($BC$94,$A$95:$H$95,0))*고양시_Modal_split!H$6 * 0.01</f>
        <v>4.3669606512889928E-3</v>
      </c>
      <c r="BI105" s="207">
        <f>INDEX($A$95:$H$107,MATCH($L105,$B$95:$B$107,0),MATCH($BC$94,$A$95:$H$95,0))*고양시_Modal_split!I$6 * 0.01</f>
        <v>2.9113071008593284E-3</v>
      </c>
      <c r="BJ105" s="207">
        <f>INDEX($A$95:$H$107,MATCH($L105,$B$95:$B$107,0),MATCH($BC$94,$A$95:$H$95,0))*고양시_Modal_split!J$6 * 0.01</f>
        <v>4.0626714910296843E-3</v>
      </c>
      <c r="BK105" s="207">
        <f>INDEX($A$95:$H$107,MATCH($L105,$B$95:$B$107,0),MATCH($BC$94,$A$95:$H$95,0))*고양시_Modal_split!K$6 * 0.01</f>
        <v>0</v>
      </c>
      <c r="BL105" s="207">
        <f>INDEX($A$95:$H$107,MATCH($L105,$B$95:$B$107,0),MATCH($BC$94,$A$95:$H$95,0))*고양시_Modal_split!L$6 * 0.01</f>
        <v>6.2502638323533603E-4</v>
      </c>
      <c r="BM105" s="207">
        <f>INDEX($A$95:$H$107,MATCH($L105,$B$95:$B$107,0),MATCH($BC$94,$A$95:$H$95,0))*고양시_Modal_split!M$6 * 0.01</f>
        <v>7.4838685361073133E-4</v>
      </c>
      <c r="BN105" s="207">
        <f>INDEX($A$95:$H$107,MATCH($L105,$B$95:$B$107,0),MATCH($BC$94,$A$95:$H$95,0))*고양시_Modal_split!N$6 * 0.01</f>
        <v>0</v>
      </c>
      <c r="BO105" s="207">
        <f>INDEX($A$95:$H$107,MATCH($L105,$B$95:$B$107,0),MATCH($BC$94,$A$95:$H$95,0))*고양시_Modal_split!O$6 * 0.01</f>
        <v>6.5792250866877479E-5</v>
      </c>
      <c r="BP105" s="214">
        <f>INDEX($A$95:$H$107,MATCH($L105,$B$95:$B$107,0),MATCH($BC$94,$A$95:$H$95,0))*고양시_Modal_split!P$6 * 0.01</f>
        <v>8.2240313583596847E-2</v>
      </c>
      <c r="BQ105" s="213">
        <f>INDEX($A$95:$H$107,MATCH($L105,$B$95:$B$107,0),MATCH($BQ$94,$A$95:$H$95,0))*고양시_Modal_split!C$7 * 0.01</f>
        <v>0</v>
      </c>
      <c r="BR105" s="213">
        <f>INDEX($A$95:$H$107,MATCH($L105,$B$95:$B$107,0),MATCH($BQ$94,$A$95:$H$95,0))*고양시_Modal_split!D$7 * 0.01</f>
        <v>0.19038815350855148</v>
      </c>
      <c r="BS105" s="213">
        <f>INDEX($A$95:$H$107,MATCH($L105,$B$95:$B$107,0),MATCH($BQ$94,$A$95:$H$95,0))*고양시_Modal_split!E$7 * 0.01</f>
        <v>9.2895003098983197E-3</v>
      </c>
      <c r="BT105" s="213">
        <f>INDEX($A$95:$H$107,MATCH($L105,$B$95:$B$107,0),MATCH($BQ$94,$A$95:$H$95,0))*고양시_Modal_split!F$7 * 0.01</f>
        <v>3.1068562909358929E-3</v>
      </c>
      <c r="BU105" s="213">
        <f>INDEX($A$95:$H$107,MATCH($L105,$B$95:$B$107,0),MATCH($BQ$94,$A$95:$H$95,0))*고양시_Modal_split!G$7 * 0.01</f>
        <v>1.3048796421930751E-3</v>
      </c>
      <c r="BV105" s="213">
        <f>INDEX($A$95:$H$107,MATCH($L105,$B$95:$B$107,0),MATCH($BQ$94,$A$95:$H$95,0))*고양시_Modal_split!H$7 * 0.01</f>
        <v>1.7367326666331642E-2</v>
      </c>
      <c r="BW105" s="213">
        <f>INDEX($A$95:$H$107,MATCH($L105,$B$95:$B$107,0),MATCH($BQ$94,$A$95:$H$95,0))*고양시_Modal_split!I$7 * 0.01</f>
        <v>5.8005006951773116E-2</v>
      </c>
      <c r="BX105" s="213">
        <f>INDEX($A$95:$H$107,MATCH($L105,$B$95:$B$107,0),MATCH($BQ$94,$A$95:$H$95,0))*고양시_Modal_split!J$7 * 0.01</f>
        <v>6.2137125818717862E-5</v>
      </c>
      <c r="BY105" s="213">
        <f>INDEX($A$95:$H$107,MATCH($L105,$B$95:$B$107,0),MATCH($BQ$94,$A$95:$H$95,0))*고양시_Modal_split!K$7 * 0.01</f>
        <v>2.3922793440206376E-2</v>
      </c>
      <c r="BZ105" s="213">
        <f>INDEX($A$95:$H$107,MATCH($L105,$B$95:$B$107,0),MATCH($BQ$94,$A$95:$H$95,0))*고양시_Modal_split!L$7 * 0.01</f>
        <v>2.1747994036551248E-4</v>
      </c>
      <c r="CA105" s="213">
        <f>INDEX($A$95:$H$107,MATCH($L105,$B$95:$B$107,0),MATCH($BQ$94,$A$95:$H$95,0))*고양시_Modal_split!M$7 * 0.01</f>
        <v>5.80982126405012E-3</v>
      </c>
      <c r="CB105" s="213">
        <f>INDEX($A$95:$H$107,MATCH($L105,$B$95:$B$107,0),MATCH($BQ$94,$A$95:$H$95,0))*고양시_Modal_split!N$7 * 0.01</f>
        <v>1.2116739534649981E-3</v>
      </c>
      <c r="CC105" s="213">
        <f>INDEX($A$95:$H$107,MATCH($L105,$B$95:$B$107,0),MATCH($BQ$94,$A$95:$H$95,0))*고양시_Modal_split!O$7 * 0.01</f>
        <v>0</v>
      </c>
      <c r="CD105" s="213">
        <f>INDEX($A$95:$H$107,MATCH($L105,$B$95:$B$107,0),MATCH($BQ$94,$A$95:$H$95,0))*고양시_Modal_split!P$7 * 0.01</f>
        <v>0.31068562909358927</v>
      </c>
      <c r="CE105" s="218">
        <f t="shared" si="55"/>
        <v>278.0664835536125</v>
      </c>
      <c r="CF105" s="208">
        <f t="shared" si="36"/>
        <v>390.4389307159488</v>
      </c>
      <c r="CG105" s="208">
        <f t="shared" si="37"/>
        <v>83.216546312210014</v>
      </c>
      <c r="CH105" s="208">
        <f t="shared" si="38"/>
        <v>21.327760654639256</v>
      </c>
      <c r="CI105" s="208">
        <f t="shared" si="39"/>
        <v>108.3229761554182</v>
      </c>
      <c r="CJ105" s="208">
        <f t="shared" si="40"/>
        <v>7.097156306012016E-2</v>
      </c>
      <c r="CK105" s="208">
        <f t="shared" si="41"/>
        <v>36.76015458482</v>
      </c>
      <c r="CL105" s="208">
        <f t="shared" si="42"/>
        <v>84.61999097023299</v>
      </c>
      <c r="CM105" s="208">
        <f t="shared" si="43"/>
        <v>0.22345972494430183</v>
      </c>
      <c r="CN105" s="208">
        <f t="shared" si="44"/>
        <v>47.286859896644728</v>
      </c>
      <c r="CO105" s="208">
        <f t="shared" si="45"/>
        <v>6.7590188602442343</v>
      </c>
      <c r="CP105" s="208">
        <f t="shared" si="46"/>
        <v>23.021919338492726</v>
      </c>
      <c r="CQ105" s="208">
        <f t="shared" si="47"/>
        <v>10.884927669732148</v>
      </c>
      <c r="CR105" s="219">
        <f t="shared" si="48"/>
        <v>1090.9999999999998</v>
      </c>
      <c r="CS105" s="225">
        <f t="shared" si="56"/>
        <v>0</v>
      </c>
      <c r="CV105" s="265"/>
      <c r="CW105" s="266" t="s">
        <v>24</v>
      </c>
      <c r="CX105" s="267">
        <f>INDEX($M$94:$Z$107,MATCH($CW105,$L$94:$L$107,0),MATCH(CX$95,$M$95:$Z$95,0))/INDEX(고양시_재차인원!$D$4:$H$35,MATCH("고양시",고양시_재차인원!$B$4:$B$35,0),MATCH('A.일산테크노밸리(859991)_수정'!$CX$94,고양시_재차인원!$D$4:$H$4,0))</f>
        <v>52.928480464739735</v>
      </c>
      <c r="CY105" s="267">
        <f>INDEX($M$94:$Z$107,MATCH($CW105,$L$94:$L$107,0),MATCH(CY$95,$M$95:$Z$95,0))/INDEX(고양시_재차인원!$K$4:$O$20,MATCH("경기도",고양시_재차인원!$K$4:$K$20,0),MATCH('A.일산테크노밸리(859991)_수정'!CY$95,고양시_재차인원!$K$4:$O$4,0))</f>
        <v>4.3781516945395329E-4</v>
      </c>
      <c r="CZ105" s="267">
        <f>INDEX($M$94:$Z$107,MATCH($CW105,$L$94:$L$107,0),MATCH(CZ$95,$M$95:$Z$95,0))/INDEX(고양시_재차인원!$K$4:$O$20,MATCH("경기도",고양시_재차인원!$K$4:$K$20,0),MATCH('A.일산테크노밸리(859991)_수정'!CZ$95,고양시_재차인원!$K$4:$O$4,0))</f>
        <v>0.121712617108199</v>
      </c>
      <c r="DA105" s="267">
        <f>INDEX($M$94:$Z$107,MATCH($CW105,$L$94:$L$107,0),MATCH(DA$95,$M$95:$Z$95,0))/INDEX(고양시_재차인원!$K$4:$O$20,MATCH("경기도",고양시_재차인원!$K$4:$K$20,0),MATCH('A.일산테크노밸리(859991)_수정'!DA$95,고양시_재차인원!$K$4:$O$4,0))</f>
        <v>2.5377460106873015</v>
      </c>
      <c r="DB105" s="268">
        <f>INDEX($AA$94:$AN$107,MATCH($CW105,$L$94:$L$107,0),MATCH(DB$95,$AA$95:$AN$95,0))/INDEX(고양시_재차인원!$D$4:$H$35,MATCH("고양시",고양시_재차인원!$B$4:$B$35,0),MATCH('A.일산테크노밸리(859991)_수정'!$DB$94,고양시_재차인원!$D$4:$H$4,0))</f>
        <v>207.48330945387693</v>
      </c>
      <c r="DC105" s="267">
        <f>INDEX($AA$94:$AN$107,MATCH($CW105,$L$94:$L$107,0),MATCH(DC$95,$AA$95:$AN$95,0))/INDEX(고양시_재차인원!$K$4:$O$20,MATCH("경기도",고양시_재차인원!$K$4:$K$20,0),MATCH('A.일산테크노밸리(859991)_수정'!DC$95,고양시_재차인원!$K$4:$O$4,0))</f>
        <v>0</v>
      </c>
      <c r="DD105" s="267">
        <f>INDEX($AA$94:$AN$107,MATCH($CW105,$L$94:$L$107,0),MATCH(DD$95,$AA$95:$AN$95,0))/INDEX(고양시_재차인원!$K$4:$O$20,MATCH("경기도",고양시_재차인원!$K$4:$K$20,0),MATCH('A.일산테크노밸리(859991)_수정'!DD$95,고양시_재차인원!$K$4:$O$4,0))</f>
        <v>1.1026581667081843</v>
      </c>
      <c r="DE105" s="267">
        <f>INDEX($AA$94:$AN$107,MATCH($CW105,$L$94:$L$107,0),MATCH(DE$95,$AA$95:$AN$95,0))/INDEX(고양시_재차인원!$K$4:$O$20,MATCH("경기도",고양시_재차인원!$K$4:$K$20,0),MATCH('A.일산테크노밸리(859991)_수정'!DE$95,고양시_재차인원!$K$4:$O$4,0))</f>
        <v>28.096617283950625</v>
      </c>
      <c r="DF105" s="268">
        <f>INDEX($AO$94:$BB$107,MATCH($CW105,$L$94:$L$107,0),MATCH(DF$95,$AO$95:$BB$95,0))/INDEX(고양시_재차인원!$D$4:$H$35,MATCH("고양시",고양시_재차인원!$B$4:$B$35,0),MATCH('A.일산테크노밸리(859991)_수정'!$DF$94,고양시_재차인원!$D$4:$H$4,0))</f>
        <v>29.499288390989825</v>
      </c>
      <c r="DG105" s="267">
        <f>INDEX($AO$94:$BB$107,MATCH($CW105,$L$94:$L$107,0),MATCH(DG$95,$AO$95:$BB$95,0))/INDEX(고양시_재차인원!$K$4:$O$20,MATCH("경기도",고양시_재차인원!$K$4:$K$20,0),MATCH('A.일산테크노밸리(859991)_수정'!DG$95,고양시_재차인원!$K$4:$O$4,0))</f>
        <v>1.2724062873886843E-3</v>
      </c>
      <c r="DH105" s="267">
        <f>INDEX($AO$94:$BB$107,MATCH($CW105,$L$94:$L$107,0),MATCH(DH$95,$AO$95:$BB$95,0))/INDEX(고양시_재차인원!$K$4:$O$20,MATCH("경기도",고양시_재차인원!$K$4:$K$20,0),MATCH('A.일산테크노밸리(859991)_수정'!DH$95,고양시_재차인원!$K$4:$O$4,0))</f>
        <v>5.0350934515237943E-2</v>
      </c>
      <c r="DI105" s="267">
        <f>INDEX($AO$94:$BB$107,MATCH($CW105,$L$94:$L$107,0),MATCH(DI$95,$AO$95:$BB$95,0))/INDEX(고양시_재차인원!$K$4:$O$20,MATCH("경기도",고양시_재차인원!$K$4:$K$20,0),MATCH('A.일산테크노밸리(859991)_수정'!DI$95,고양시_재차인원!$K$4:$O$4,0))</f>
        <v>0.88964829890949115</v>
      </c>
      <c r="DJ105" s="268">
        <f>INDEX($BC$94:$BP$107,MATCH($CW105,$L$94:$L$107,0),MATCH(DJ$95,$BC$95:$BP$95,0))/INDEX(고양시_재차인원!$D$4:$H$35,MATCH("고양시",고양시_재차인원!$B$4:$B$35,0),MATCH('A.일산테크노밸리(859991)_수정'!$DJ$94,고양시_재차인원!$D$4:$H$4,0))</f>
        <v>5.0075885057776867E-2</v>
      </c>
      <c r="DK105" s="267">
        <f>INDEX($BC$94:$BP$107,MATCH($CW105,$L$94:$L$107,0),MATCH(DK$95,$BC$95:$BP$95,0))/INDEX(고양시_재차인원!$K$4:$O$20,MATCH("경기도",고양시_재차인원!$K$4:$K$20,0),MATCH('A.일산테크노밸리(859991)_수정'!DK$95,고양시_재차인원!$K$4:$O$4,0))</f>
        <v>1.5168324596349402E-4</v>
      </c>
      <c r="DL105" s="267">
        <f>INDEX($BC$94:$BP$107,MATCH($CW105,$L$94:$L$107,0),MATCH(DL$95,$BC$95:$BP$95,0))/INDEX(고양시_재차인원!$K$4:$O$20,MATCH("경기도",고양시_재차인원!$K$4:$K$20,0),MATCH('A.일산테크노밸리(859991)_수정'!DL$95,고양시_재차인원!$K$4:$O$4,0))</f>
        <v>1.0112216397566268E-4</v>
      </c>
      <c r="DM105" s="267">
        <f>INDEX($BC$94:$BP$107,MATCH($CW105,$L$94:$L$107,0),MATCH(DM$95,$BC$95:$BP$95,0))/INDEX(고양시_재차인원!$K$4:$O$20,MATCH("경기도",고양시_재차인원!$K$4:$K$20,0),MATCH('A.일산테크노밸리(859991)_수정'!DM$95,고양시_재차인원!$K$4:$O$4,0))</f>
        <v>4.1668425549022404E-4</v>
      </c>
      <c r="DN105" s="268">
        <f>INDEX($BQ$94:$CD$107,MATCH($CW105,$L$94:$L$107,0),MATCH(DN$95,$BQ$95:$CD$95,0))/INDEX(고양시_재차인원!$D$4:$H$35,MATCH("고양시",고양시_재차인원!$B$4:$B$35,0),MATCH('A.일산테크노밸리(859991)_수정'!$DN$94,고양시_재차인원!$D$4:$H$4,0))</f>
        <v>0.15110170913377102</v>
      </c>
      <c r="DO105" s="267">
        <f>INDEX($BQ$94:$CD$107,MATCH($CW105,$L$94:$L$107,0),MATCH(DO$95,$BQ$95:$CD$95,0))/INDEX(고양시_재차인원!$K$4:$O$20,MATCH("경기도",고양시_재차인원!$K$4:$K$20,0),MATCH('A.일산테크노밸리(859991)_수정'!DO$95,고양시_재차인원!$K$4:$O$4,0))</f>
        <v>6.0324163481527068E-4</v>
      </c>
      <c r="DP105" s="267">
        <f>INDEX($BQ$94:$CD$107,MATCH($CW105,$L$94:$L$107,0),MATCH(DP$95,$BQ$95:$CD$95,0))/INDEX(고양시_재차인원!$K$4:$O$20,MATCH("경기도",고양시_재차인원!$K$4:$K$20,0),MATCH('A.일산테크노밸리(859991)_수정'!DP$95,고양시_재차인원!$K$4:$O$4,0))</f>
        <v>2.0147623116281042E-3</v>
      </c>
      <c r="DQ105" s="267">
        <f>INDEX($BQ$94:$CD$107,MATCH($CW105,$L$94:$L$107,0),MATCH(DQ$95,$BQ$95:$CD$95,0))/INDEX(고양시_재차인원!$K$4:$O$20,MATCH("경기도",고양시_재차인원!$K$4:$K$20,0),MATCH('A.일산테크노밸리(859991)_수정'!DQ$95,고양시_재차인원!$K$4:$O$4,0))</f>
        <v>1.4498662691034164E-4</v>
      </c>
      <c r="DR105" s="269">
        <f t="shared" si="57"/>
        <v>290.11225590379803</v>
      </c>
      <c r="DS105" s="270">
        <f t="shared" si="49"/>
        <v>2.4651463376214023E-3</v>
      </c>
      <c r="DT105" s="270">
        <f t="shared" si="50"/>
        <v>1.276837602807225</v>
      </c>
      <c r="DU105" s="270">
        <f t="shared" si="51"/>
        <v>31.524573264429819</v>
      </c>
      <c r="DW105" s="278"/>
      <c r="DX105" s="278"/>
      <c r="DY105" s="281">
        <f>DR107+DU107</f>
        <v>12102.506976181567</v>
      </c>
      <c r="DZ105" s="281">
        <f>DS107+DT107</f>
        <v>48.137430300544672</v>
      </c>
      <c r="EC105" s="412" t="s">
        <v>15</v>
      </c>
      <c r="ED105" s="412" t="s">
        <v>84</v>
      </c>
      <c r="EE105" s="412">
        <v>5030.8546999999999</v>
      </c>
      <c r="EF105" s="412">
        <v>2.3365252236241602E-2</v>
      </c>
      <c r="EG105" s="413">
        <v>859011</v>
      </c>
      <c r="EH105" s="414">
        <f t="shared" si="52"/>
        <v>174.70270302258632</v>
      </c>
      <c r="EI105" s="415">
        <f t="shared" si="53"/>
        <v>0.69487579776796304</v>
      </c>
      <c r="EJ105" s="402">
        <v>0</v>
      </c>
      <c r="EM105" s="278" t="s">
        <v>15</v>
      </c>
      <c r="EN105" s="278" t="s">
        <v>84</v>
      </c>
      <c r="EO105" s="278">
        <v>5030.8546999999999</v>
      </c>
      <c r="EP105" s="278">
        <v>2.3365252236241602E-2</v>
      </c>
      <c r="EQ105" s="289">
        <v>859011</v>
      </c>
      <c r="ER105" s="290">
        <f t="shared" si="34"/>
        <v>174.70270302258632</v>
      </c>
      <c r="ES105" s="291">
        <f t="shared" si="35"/>
        <v>0.69487579776796304</v>
      </c>
      <c r="ET105" s="402">
        <v>0</v>
      </c>
      <c r="EV105" s="34"/>
      <c r="EW105" s="34"/>
      <c r="EX105" s="34"/>
      <c r="EY105" s="34"/>
      <c r="EZ105" s="378"/>
      <c r="FA105" s="401"/>
      <c r="FB105" s="402"/>
      <c r="FC105" s="402"/>
    </row>
    <row r="106" spans="1:159" ht="16.5" customHeight="1">
      <c r="A106" s="205"/>
      <c r="B106" s="205" t="s">
        <v>482</v>
      </c>
      <c r="C106" s="400">
        <f>'A.일산테크노밸리(859991)_수정'!$P39*KTDB_TripDistribution_2025!T$12</f>
        <v>39.743504698728543</v>
      </c>
      <c r="D106" s="400">
        <f>'A.일산테크노밸리(859991)_수정'!$P39*KTDB_TripDistribution_2025!U$12</f>
        <v>287.63187429854105</v>
      </c>
      <c r="E106" s="400">
        <f>'A.일산테크노밸리(859991)_수정'!$P39*KTDB_TripDistribution_2025!V$12</f>
        <v>16.500728679833124</v>
      </c>
      <c r="F106" s="400">
        <f>'A.일산테크노밸리(859991)_수정'!$P39*KTDB_TripDistribution_2025!W$12</f>
        <v>2.5930951304085532E-2</v>
      </c>
      <c r="G106" s="400">
        <f>'A.일산테크노밸리(859991)_수정'!$P39*KTDB_TripDistribution_2025!X$12</f>
        <v>9.7961371593212374E-2</v>
      </c>
      <c r="H106" s="400">
        <f>'A.일산테크노밸리(859991)_수정'!$P39*KTDB_TripDistribution_2025!Y$12</f>
        <v>344.00000000000006</v>
      </c>
      <c r="J106" s="230">
        <f t="shared" si="54"/>
        <v>344</v>
      </c>
      <c r="K106" s="206"/>
      <c r="L106" s="209" t="s">
        <v>482</v>
      </c>
      <c r="M106" s="213">
        <f>INDEX($A$95:$H$107,MATCH($L106,$B$95:$B$107,0),MATCH($M$94,$A$95:$H$95,0))*고양시_Modal_split!C$3 * 0.01</f>
        <v>0.11128181315643991</v>
      </c>
      <c r="N106" s="213">
        <f>INDEX($A$95:$H$107,MATCH($L106,$B$95:$B$107,0),MATCH($M$94,$A$95:$H$95,0))*고양시_Modal_split!D$3 * 0.01</f>
        <v>18.691370259812032</v>
      </c>
      <c r="O106" s="213">
        <f>INDEX($A$95:$H$107,MATCH($L106,$B$95:$B$107,0),MATCH($M$94,$A$95:$H$95,0))*고양시_Modal_split!E$3 * 0.01</f>
        <v>2.2614054173576541</v>
      </c>
      <c r="P106" s="213">
        <f>INDEX($A$95:$H$107,MATCH($L106,$B$95:$B$107,0),MATCH($M$94,$A$95:$H$95,0))*고양시_Modal_split!F$3 * 0.01</f>
        <v>3.6444793808734075</v>
      </c>
      <c r="Q106" s="213">
        <f>INDEX($A$95:$H$107,MATCH($L106,$B$95:$B$107,0),MATCH($M$94,$A$95:$H$95,0))*고양시_Modal_split!G$3 * 0.01</f>
        <v>0.36564024322830257</v>
      </c>
      <c r="R106" s="213">
        <f>INDEX($A$95:$H$107,MATCH($L106,$B$95:$B$107,0),MATCH($M$94,$A$95:$H$95,0))*고양시_Modal_split!H$3 * 0.01</f>
        <v>3.9743504698728548E-3</v>
      </c>
      <c r="S106" s="213">
        <f>INDEX($A$95:$H$107,MATCH($L106,$B$95:$B$107,0),MATCH($M$94,$A$95:$H$95,0))*고양시_Modal_split!I$3 * 0.01</f>
        <v>1.1048694306246534</v>
      </c>
      <c r="T106" s="213">
        <f>INDEX($A$95:$H$107,MATCH($L106,$B$95:$B$107,0),MATCH($M$94,$A$95:$H$95,0))*고양시_Modal_split!J$3 * 0.01</f>
        <v>12.097922830292969</v>
      </c>
      <c r="U106" s="213">
        <f>INDEX($A$95:$H$107,MATCH($L106,$B$95:$B$107,0),MATCH($M$94,$A$95:$H$95,0))*고양시_Modal_split!K$3 * 0.01</f>
        <v>5.9615257048092812E-2</v>
      </c>
      <c r="V106" s="213">
        <f>INDEX($A$95:$H$107,MATCH($L106,$B$95:$B$107,0),MATCH($M$94,$A$95:$H$95,0))*고양시_Modal_split!L$3 * 0.01</f>
        <v>1.200253841901602</v>
      </c>
      <c r="W106" s="213">
        <f>INDEX($A$95:$H$107,MATCH($L106,$B$95:$B$107,0),MATCH($M$94,$A$95:$H$95,0))*고양시_Modal_split!M$3 * 0.01</f>
        <v>9.1410060807075644E-2</v>
      </c>
      <c r="X106" s="213">
        <f>INDEX($A$95:$H$107,MATCH($L106,$B$95:$B$107,0),MATCH($M$94,$A$95:$H$95,0))*고양시_Modal_split!N$3 * 0.01</f>
        <v>3.9743504698728546E-2</v>
      </c>
      <c r="Y106" s="213">
        <f>INDEX($A$95:$H$107,MATCH($L106,$B$95:$B$107,0),MATCH($M$94,$A$95:$H$95,0))*고양시_Modal_split!O$3 * 0.01</f>
        <v>7.1538308457711378E-2</v>
      </c>
      <c r="Z106" s="213">
        <f>INDEX($A$95:$H$107,MATCH($L106,$B$95:$B$107,0),MATCH($M$94,$A$95:$H$95,0))*고양시_Modal_split!P$3 * 0.01</f>
        <v>39.743504698728543</v>
      </c>
      <c r="AA106" s="213">
        <f>INDEX($A$95:$H$107,MATCH($L106,$B$95:$B$107,0),MATCH($AA$94,$A$95:$H$95,0))*고양시_Modal_split!C$4 * 0.01</f>
        <v>87.555142536475913</v>
      </c>
      <c r="AB106" s="213">
        <f>INDEX($A$95:$H$107,MATCH($L106,$B$95:$B$107,0),MATCH($AA$94,$A$95:$H$95,0))*고양시_Modal_split!D$4 * 0.01</f>
        <v>92.243542087542124</v>
      </c>
      <c r="AC106" s="213">
        <f>INDEX($A$95:$H$107,MATCH($L106,$B$95:$B$107,0),MATCH($AA$94,$A$95:$H$95,0))*고양시_Modal_split!E$4 * 0.01</f>
        <v>22.348996632996641</v>
      </c>
      <c r="AD106" s="213">
        <f>INDEX($A$95:$H$107,MATCH($L106,$B$95:$B$107,0),MATCH($AA$94,$A$95:$H$95,0))*고양시_Modal_split!F$4 * 0.01</f>
        <v>2.7325028058361398</v>
      </c>
      <c r="AE106" s="213">
        <f>INDEX($A$95:$H$107,MATCH($L106,$B$95:$B$107,0),MATCH($AA$94,$A$95:$H$95,0))*고양시_Modal_split!G$4 * 0.01</f>
        <v>33.68169248035916</v>
      </c>
      <c r="AF106" s="213">
        <f>INDEX($A$95:$H$107,MATCH($L106,$B$95:$B$107,0),MATCH($AA$94,$A$95:$H$95,0))*고양시_Modal_split!H$4 * 0.01</f>
        <v>0</v>
      </c>
      <c r="AG106" s="213">
        <f>INDEX($A$95:$H$107,MATCH($L106,$B$95:$B$107,0),MATCH($AA$94,$A$95:$H$95,0))*고양시_Modal_split!I$4 * 0.01</f>
        <v>10.009589225589227</v>
      </c>
      <c r="AH106" s="213">
        <f>INDEX($A$95:$H$107,MATCH($L106,$B$95:$B$107,0),MATCH($AA$94,$A$95:$H$95,0))*고양시_Modal_split!J$4 * 0.01</f>
        <v>13.547461279461285</v>
      </c>
      <c r="AI106" s="213">
        <f>INDEX($A$95:$H$107,MATCH($L106,$B$95:$B$107,0),MATCH($AA$94,$A$95:$H$95,0))*고양시_Modal_split!K$4 * 0.01</f>
        <v>0</v>
      </c>
      <c r="AJ106" s="213">
        <f>INDEX($A$95:$H$107,MATCH($L106,$B$95:$B$107,0),MATCH($AA$94,$A$95:$H$95,0))*고양시_Modal_split!L$4 * 0.01</f>
        <v>13.288592592592597</v>
      </c>
      <c r="AK106" s="213">
        <f>INDEX($A$95:$H$107,MATCH($L106,$B$95:$B$107,0),MATCH($AA$94,$A$95:$H$95,0))*고양시_Modal_split!M$4 * 0.01</f>
        <v>1.9271335578002251</v>
      </c>
      <c r="AL106" s="213">
        <f>INDEX($A$95:$H$107,MATCH($L106,$B$95:$B$107,0),MATCH($AA$94,$A$95:$H$95,0))*고양시_Modal_split!N$4 * 0.01</f>
        <v>7.1907968574635266</v>
      </c>
      <c r="AM106" s="213">
        <f>INDEX($A$95:$H$107,MATCH($L106,$B$95:$B$107,0),MATCH($AA$94,$A$95:$H$95,0))*고양시_Modal_split!O$4 * 0.01</f>
        <v>3.1064242424242434</v>
      </c>
      <c r="AN106" s="213">
        <f>INDEX($A$95:$H$107,MATCH($L106,$B$95:$B$107,0),MATCH($AA$94,$A$95:$H$95,0))*고양시_Modal_split!P$4 * 0.01</f>
        <v>287.63187429854105</v>
      </c>
      <c r="AO106" s="213">
        <f>INDEX($A$95:$H$107,MATCH($L106,$B$95:$B$107,0),MATCH($AO$94,$A$95:$H$95,0))*고양시_Modal_split!C$5 * 0.01</f>
        <v>9.9004372078998742E-3</v>
      </c>
      <c r="AP106" s="213">
        <f>INDEX($A$95:$H$107,MATCH($L106,$B$95:$B$107,0),MATCH($AO$94,$A$95:$H$95,0))*고양시_Modal_split!D$5 * 0.01</f>
        <v>12.091733976581713</v>
      </c>
      <c r="AQ106" s="213">
        <f>INDEX($A$95:$H$107,MATCH($L106,$B$95:$B$107,0),MATCH($AO$94,$A$95:$H$95,0))*고양시_Modal_split!E$5 * 0.01</f>
        <v>1.6253217749635627</v>
      </c>
      <c r="AR106" s="213">
        <f>INDEX($A$95:$H$107,MATCH($L106,$B$95:$B$107,0),MATCH($AO$94,$A$95:$H$95,0))*고양시_Modal_split!F$5 * 0.01</f>
        <v>0.34651530227649557</v>
      </c>
      <c r="AS106" s="213">
        <f>INDEX($A$95:$H$107,MATCH($L106,$B$95:$B$107,0),MATCH($AO$94,$A$95:$H$95,0))*고양시_Modal_split!G$5 * 0.01</f>
        <v>0.10725473641891531</v>
      </c>
      <c r="AT106" s="213">
        <f>INDEX($A$95:$H$107,MATCH($L106,$B$95:$B$107,0),MATCH($AO$94,$A$95:$H$95,0))*고양시_Modal_split!H$5 * 0.01</f>
        <v>1.1550510075883185E-2</v>
      </c>
      <c r="AU106" s="213">
        <f>INDEX($A$95:$H$107,MATCH($L106,$B$95:$B$107,0),MATCH($AO$94,$A$95:$H$95,0))*고양시_Modal_split!I$5 * 0.01</f>
        <v>0.45707018443137759</v>
      </c>
      <c r="AV106" s="213">
        <f>INDEX($A$95:$H$107,MATCH($L106,$B$95:$B$107,0),MATCH($AO$94,$A$95:$H$95,0))*고양시_Modal_split!J$5 * 0.01</f>
        <v>1.0345956882255369</v>
      </c>
      <c r="AW106" s="213">
        <f>INDEX($A$95:$H$107,MATCH($L106,$B$95:$B$107,0),MATCH($AO$94,$A$95:$H$95,0))*고양시_Modal_split!K$5 * 0.01</f>
        <v>3.3001457359666249E-3</v>
      </c>
      <c r="AX106" s="213">
        <f>INDEX($A$95:$H$107,MATCH($L106,$B$95:$B$107,0),MATCH($AO$94,$A$95:$H$95,0))*고양시_Modal_split!L$5 * 0.01</f>
        <v>0.42076858133574463</v>
      </c>
      <c r="AY106" s="213">
        <f>INDEX($A$95:$H$107,MATCH($L106,$B$95:$B$107,0),MATCH($AO$94,$A$95:$H$95,0))*고양시_Modal_split!M$5 * 0.01</f>
        <v>0.11055488215488193</v>
      </c>
      <c r="AZ106" s="213">
        <f>INDEX($A$95:$H$107,MATCH($L106,$B$95:$B$107,0),MATCH($AO$94,$A$95:$H$95,0))*고양시_Modal_split!N$5 * 0.01</f>
        <v>2.8051238755716308E-2</v>
      </c>
      <c r="BA106" s="213">
        <f>INDEX($A$95:$H$107,MATCH($L106,$B$95:$B$107,0),MATCH($AO$94,$A$95:$H$95,0))*고양시_Modal_split!O$5 * 0.01</f>
        <v>0.25411122166943012</v>
      </c>
      <c r="BB106" s="213">
        <f>INDEX($A$95:$H$107,MATCH($L106,$B$95:$B$107,0),MATCH($AO$94,$A$95:$H$95,0))*고양시_Modal_split!P$5 * 0.01</f>
        <v>16.50072867983312</v>
      </c>
      <c r="BC106" s="213">
        <f>INDEX($A$95:$H$107,MATCH($L106,$B$95:$B$107,0),MATCH($BC$94,$A$95:$H$95,0))*고양시_Modal_split!C$6 * 0.01</f>
        <v>0</v>
      </c>
      <c r="BD106" s="207">
        <f>INDEX($A$95:$H$107,MATCH($L106,$B$95:$B$107,0),MATCH($BC$94,$A$95:$H$95,0))*고양시_Modal_split!D$6 * 0.01</f>
        <v>2.1473420774913227E-2</v>
      </c>
      <c r="BE106" s="207">
        <f>INDEX($A$95:$H$107,MATCH($L106,$B$95:$B$107,0),MATCH($BC$94,$A$95:$H$95,0))*고양시_Modal_split!E$6 * 0.01</f>
        <v>1.1150309060756779E-4</v>
      </c>
      <c r="BF106" s="207">
        <f>INDEX($A$95:$H$107,MATCH($L106,$B$95:$B$107,0),MATCH($BC$94,$A$95:$H$95,0))*고양시_Modal_split!F$6 * 0.01</f>
        <v>3.1635760590984353E-4</v>
      </c>
      <c r="BG106" s="207">
        <f>INDEX($A$95:$H$107,MATCH($L106,$B$95:$B$107,0),MATCH($BC$94,$A$95:$H$95,0))*고양시_Modal_split!G$6 * 0.01</f>
        <v>0</v>
      </c>
      <c r="BH106" s="207">
        <f>INDEX($A$95:$H$107,MATCH($L106,$B$95:$B$107,0),MATCH($BC$94,$A$95:$H$95,0))*고양시_Modal_split!H$6 * 0.01</f>
        <v>1.376933514246942E-3</v>
      </c>
      <c r="BI106" s="207">
        <f>INDEX($A$95:$H$107,MATCH($L106,$B$95:$B$107,0),MATCH($BC$94,$A$95:$H$95,0))*고양시_Modal_split!I$6 * 0.01</f>
        <v>9.1795567616462779E-4</v>
      </c>
      <c r="BJ106" s="207">
        <f>INDEX($A$95:$H$107,MATCH($L106,$B$95:$B$107,0),MATCH($BC$94,$A$95:$H$95,0))*고양시_Modal_split!J$6 * 0.01</f>
        <v>1.2809889944218251E-3</v>
      </c>
      <c r="BK106" s="207">
        <f>INDEX($A$95:$H$107,MATCH($L106,$B$95:$B$107,0),MATCH($BC$94,$A$95:$H$95,0))*고양시_Modal_split!K$6 * 0.01</f>
        <v>0</v>
      </c>
      <c r="BL106" s="207">
        <f>INDEX($A$95:$H$107,MATCH($L106,$B$95:$B$107,0),MATCH($BC$94,$A$95:$H$95,0))*고양시_Modal_split!L$6 * 0.01</f>
        <v>1.9707522991105006E-4</v>
      </c>
      <c r="BM106" s="207">
        <f>INDEX($A$95:$H$107,MATCH($L106,$B$95:$B$107,0),MATCH($BC$94,$A$95:$H$95,0))*고양시_Modal_split!M$6 * 0.01</f>
        <v>2.3597165686717835E-4</v>
      </c>
      <c r="BN106" s="207">
        <f>INDEX($A$95:$H$107,MATCH($L106,$B$95:$B$107,0),MATCH($BC$94,$A$95:$H$95,0))*고양시_Modal_split!N$6 * 0.01</f>
        <v>0</v>
      </c>
      <c r="BO106" s="207">
        <f>INDEX($A$95:$H$107,MATCH($L106,$B$95:$B$107,0),MATCH($BC$94,$A$95:$H$95,0))*고양시_Modal_split!O$6 * 0.01</f>
        <v>2.0744761043268427E-5</v>
      </c>
      <c r="BP106" s="214">
        <f>INDEX($A$95:$H$107,MATCH($L106,$B$95:$B$107,0),MATCH($BC$94,$A$95:$H$95,0))*고양시_Modal_split!P$6 * 0.01</f>
        <v>2.5930951304085532E-2</v>
      </c>
      <c r="BQ106" s="213">
        <f>INDEX($A$95:$H$107,MATCH($L106,$B$95:$B$107,0),MATCH($BQ$94,$A$95:$H$95,0))*고양시_Modal_split!C$7 * 0.01</f>
        <v>0</v>
      </c>
      <c r="BR106" s="213">
        <f>INDEX($A$95:$H$107,MATCH($L106,$B$95:$B$107,0),MATCH($BQ$94,$A$95:$H$95,0))*고양시_Modal_split!D$7 * 0.01</f>
        <v>6.0030728512320546E-2</v>
      </c>
      <c r="BS106" s="213">
        <f>INDEX($A$95:$H$107,MATCH($L106,$B$95:$B$107,0),MATCH($BQ$94,$A$95:$H$95,0))*고양시_Modal_split!E$7 * 0.01</f>
        <v>2.9290450106370497E-3</v>
      </c>
      <c r="BT106" s="213">
        <f>INDEX($A$95:$H$107,MATCH($L106,$B$95:$B$107,0),MATCH($BQ$94,$A$95:$H$95,0))*고양시_Modal_split!F$7 * 0.01</f>
        <v>9.7961371593212375E-4</v>
      </c>
      <c r="BU106" s="213">
        <f>INDEX($A$95:$H$107,MATCH($L106,$B$95:$B$107,0),MATCH($BQ$94,$A$95:$H$95,0))*고양시_Modal_split!G$7 * 0.01</f>
        <v>4.1143776069149196E-4</v>
      </c>
      <c r="BV106" s="213">
        <f>INDEX($A$95:$H$107,MATCH($L106,$B$95:$B$107,0),MATCH($BQ$94,$A$95:$H$95,0))*고양시_Modal_split!H$7 * 0.01</f>
        <v>5.4760406720605719E-3</v>
      </c>
      <c r="BW106" s="213">
        <f>INDEX($A$95:$H$107,MATCH($L106,$B$95:$B$107,0),MATCH($BQ$94,$A$95:$H$95,0))*고양시_Modal_split!I$7 * 0.01</f>
        <v>1.8289388076452754E-2</v>
      </c>
      <c r="BX106" s="213">
        <f>INDEX($A$95:$H$107,MATCH($L106,$B$95:$B$107,0),MATCH($BQ$94,$A$95:$H$95,0))*고양시_Modal_split!J$7 * 0.01</f>
        <v>1.9592274318642476E-5</v>
      </c>
      <c r="BY106" s="213">
        <f>INDEX($A$95:$H$107,MATCH($L106,$B$95:$B$107,0),MATCH($BQ$94,$A$95:$H$95,0))*고양시_Modal_split!K$7 * 0.01</f>
        <v>7.5430256126773534E-3</v>
      </c>
      <c r="BZ106" s="213">
        <f>INDEX($A$95:$H$107,MATCH($L106,$B$95:$B$107,0),MATCH($BQ$94,$A$95:$H$95,0))*고양시_Modal_split!L$7 * 0.01</f>
        <v>6.8572960115248664E-5</v>
      </c>
      <c r="CA106" s="213">
        <f>INDEX($A$95:$H$107,MATCH($L106,$B$95:$B$107,0),MATCH($BQ$94,$A$95:$H$95,0))*고양시_Modal_split!M$7 * 0.01</f>
        <v>1.8318776487930716E-3</v>
      </c>
      <c r="CB106" s="213">
        <f>INDEX($A$95:$H$107,MATCH($L106,$B$95:$B$107,0),MATCH($BQ$94,$A$95:$H$95,0))*고양시_Modal_split!N$7 * 0.01</f>
        <v>3.8204934921352824E-4</v>
      </c>
      <c r="CC106" s="213">
        <f>INDEX($A$95:$H$107,MATCH($L106,$B$95:$B$107,0),MATCH($BQ$94,$A$95:$H$95,0))*고양시_Modal_split!O$7 * 0.01</f>
        <v>0</v>
      </c>
      <c r="CD106" s="213">
        <f>INDEX($A$95:$H$107,MATCH($L106,$B$95:$B$107,0),MATCH($BQ$94,$A$95:$H$95,0))*고양시_Modal_split!P$7 * 0.01</f>
        <v>9.7961371593212374E-2</v>
      </c>
      <c r="CE106" s="218">
        <f t="shared" si="55"/>
        <v>87.676324786840254</v>
      </c>
      <c r="CF106" s="208">
        <f t="shared" si="36"/>
        <v>123.10815047322309</v>
      </c>
      <c r="CG106" s="208">
        <f t="shared" si="37"/>
        <v>26.238764373419105</v>
      </c>
      <c r="CH106" s="208">
        <f t="shared" si="38"/>
        <v>6.7247934603078852</v>
      </c>
      <c r="CI106" s="208">
        <f t="shared" si="39"/>
        <v>34.154998897767072</v>
      </c>
      <c r="CJ106" s="208">
        <f t="shared" si="40"/>
        <v>2.2377834732063551E-2</v>
      </c>
      <c r="CK106" s="208">
        <f t="shared" si="41"/>
        <v>11.590736184397874</v>
      </c>
      <c r="CL106" s="208">
        <f t="shared" si="42"/>
        <v>26.68128037924853</v>
      </c>
      <c r="CM106" s="208">
        <f t="shared" si="43"/>
        <v>7.0458428396736786E-2</v>
      </c>
      <c r="CN106" s="208">
        <f t="shared" si="44"/>
        <v>14.909880664019971</v>
      </c>
      <c r="CO106" s="208">
        <f t="shared" si="45"/>
        <v>2.1311663500678431</v>
      </c>
      <c r="CP106" s="208">
        <f t="shared" si="46"/>
        <v>7.2589736502671851</v>
      </c>
      <c r="CQ106" s="208">
        <f t="shared" si="47"/>
        <v>3.4320945173124278</v>
      </c>
      <c r="CR106" s="219">
        <f t="shared" si="48"/>
        <v>344</v>
      </c>
      <c r="CS106" s="225">
        <f t="shared" si="56"/>
        <v>0</v>
      </c>
      <c r="CV106" s="265"/>
      <c r="CW106" s="266" t="s">
        <v>482</v>
      </c>
      <c r="CX106" s="267">
        <f>INDEX($M$94:$Z$107,MATCH($CW106,$L$94:$L$107,0),MATCH(CX$95,$M$95:$Z$95,0))/INDEX(고양시_재차인원!$D$4:$H$35,MATCH("고양시",고양시_재차인원!$B$4:$B$35,0),MATCH('A.일산테크노밸리(859991)_수정'!$CX$94,고양시_재차인원!$D$4:$H$4,0))</f>
        <v>16.688723446260742</v>
      </c>
      <c r="CY106" s="267">
        <f>INDEX($M$94:$Z$107,MATCH($CW106,$L$94:$L$107,0),MATCH(CY$95,$M$95:$Z$95,0))/INDEX(고양시_재차인원!$K$4:$O$20,MATCH("경기도",고양시_재차인원!$K$4:$K$20,0),MATCH('A.일산테크노밸리(859991)_수정'!CY$95,고양시_재차인원!$K$4:$O$4,0))</f>
        <v>1.3804621291673688E-4</v>
      </c>
      <c r="CZ106" s="267">
        <f>INDEX($M$94:$Z$107,MATCH($CW106,$L$94:$L$107,0),MATCH(CZ$95,$M$95:$Z$95,0))/INDEX(고양시_재차인원!$K$4:$O$20,MATCH("경기도",고양시_재차인원!$K$4:$K$20,0),MATCH('A.일산테크노밸리(859991)_수정'!CZ$95,고양시_재차인원!$K$4:$O$4,0))</f>
        <v>3.8376847190852846E-2</v>
      </c>
      <c r="DA106" s="267">
        <f>INDEX($M$94:$Z$107,MATCH($CW106,$L$94:$L$107,0),MATCH(DA$95,$M$95:$Z$95,0))/INDEX(고양시_재차인원!$K$4:$O$20,MATCH("경기도",고양시_재차인원!$K$4:$K$20,0),MATCH('A.일산테크노밸리(859991)_수정'!DA$95,고양시_재차인원!$K$4:$O$4,0))</f>
        <v>0.80016922793440137</v>
      </c>
      <c r="DB106" s="268">
        <f>INDEX($AA$94:$AN$107,MATCH($CW106,$L$94:$L$107,0),MATCH(DB$95,$AA$95:$AN$95,0))/INDEX(고양시_재차인원!$D$4:$H$35,MATCH("고양시",고양시_재차인원!$B$4:$B$35,0),MATCH('A.일산테크노밸리(859991)_수정'!$DB$94,고양시_재차인원!$D$4:$H$4,0))</f>
        <v>65.420951835136265</v>
      </c>
      <c r="DC106" s="267">
        <f>INDEX($AA$94:$AN$107,MATCH($CW106,$L$94:$L$107,0),MATCH(DC$95,$AA$95:$AN$95,0))/INDEX(고양시_재차인원!$K$4:$O$20,MATCH("경기도",고양시_재차인원!$K$4:$K$20,0),MATCH('A.일산테크노밸리(859991)_수정'!DC$95,고양시_재차인원!$K$4:$O$4,0))</f>
        <v>0</v>
      </c>
      <c r="DD106" s="267">
        <f>INDEX($AA$94:$AN$107,MATCH($CW106,$L$94:$L$107,0),MATCH(DD$95,$AA$95:$AN$95,0))/INDEX(고양시_재차인원!$K$4:$O$20,MATCH("경기도",고양시_재차인원!$K$4:$K$20,0),MATCH('A.일산테크노밸리(859991)_수정'!DD$95,고양시_재차인원!$K$4:$O$4,0))</f>
        <v>0.34767590224346051</v>
      </c>
      <c r="DE106" s="267">
        <f>INDEX($AA$94:$AN$107,MATCH($CW106,$L$94:$L$107,0),MATCH(DE$95,$AA$95:$AN$95,0))/INDEX(고양시_재차인원!$K$4:$O$20,MATCH("경기도",고양시_재차인원!$K$4:$K$20,0),MATCH('A.일산테크노밸리(859991)_수정'!DE$95,고양시_재차인원!$K$4:$O$4,0))</f>
        <v>8.8590617283950639</v>
      </c>
      <c r="DF106" s="268">
        <f>INDEX($AO$94:$BB$107,MATCH($CW106,$L$94:$L$107,0),MATCH(DF$95,$AO$95:$BB$95,0))/INDEX(고양시_재차인원!$D$4:$H$35,MATCH("고양시",고양시_재차인원!$B$4:$B$35,0),MATCH('A.일산테크노밸리(859991)_수정'!$DF$94,고양시_재차인원!$D$4:$H$4,0))</f>
        <v>9.3013338281397786</v>
      </c>
      <c r="DG106" s="267">
        <f>INDEX($AO$94:$BB$107,MATCH($CW106,$L$94:$L$107,0),MATCH(DG$95,$AO$95:$BB$95,0))/INDEX(고양시_재차인원!$K$4:$O$20,MATCH("경기도",고양시_재차인원!$K$4:$K$20,0),MATCH('A.일산테크노밸리(859991)_수정'!DG$95,고양시_재차인원!$K$4:$O$4,0))</f>
        <v>4.0119868273300399E-4</v>
      </c>
      <c r="DH106" s="267">
        <f>INDEX($AO$94:$BB$107,MATCH($CW106,$L$94:$L$107,0),MATCH(DH$95,$AO$95:$BB$95,0))/INDEX(고양시_재차인원!$K$4:$O$20,MATCH("경기도",고양시_재차인원!$K$4:$K$20,0),MATCH('A.일산테크노밸리(859991)_수정'!DH$95,고양시_재차인원!$K$4:$O$4,0))</f>
        <v>1.5876005016720304E-2</v>
      </c>
      <c r="DI106" s="267">
        <f>INDEX($AO$94:$BB$107,MATCH($CW106,$L$94:$L$107,0),MATCH(DI$95,$AO$95:$BB$95,0))/INDEX(고양시_재차인원!$K$4:$O$20,MATCH("경기도",고양시_재차인원!$K$4:$K$20,0),MATCH('A.일산테크노밸리(859991)_수정'!DI$95,고양시_재차인원!$K$4:$O$4,0))</f>
        <v>0.28051238755716307</v>
      </c>
      <c r="DJ106" s="268">
        <f>INDEX($BC$94:$BP$107,MATCH($CW106,$L$94:$L$107,0),MATCH(DJ$95,$BC$95:$BP$95,0))/INDEX(고양시_재차인원!$D$4:$H$35,MATCH("고양시",고양시_재차인원!$B$4:$B$35,0),MATCH('A.일산테크노밸리(859991)_수정'!$DJ$94,고양시_재차인원!$D$4:$H$4,0))</f>
        <v>1.5789279981553841E-2</v>
      </c>
      <c r="DK106" s="267">
        <f>INDEX($BC$94:$BP$107,MATCH($CW106,$L$94:$L$107,0),MATCH(DK$95,$BC$95:$BP$95,0))/INDEX(고양시_재차인원!$K$4:$O$20,MATCH("경기도",고양시_재차인원!$K$4:$K$20,0),MATCH('A.일산테크노밸리(859991)_수정'!DK$95,고양시_재차인원!$K$4:$O$4,0))</f>
        <v>4.7826797993988955E-5</v>
      </c>
      <c r="DL106" s="267">
        <f>INDEX($BC$94:$BP$107,MATCH($CW106,$L$94:$L$107,0),MATCH(DL$95,$BC$95:$BP$95,0))/INDEX(고양시_재차인원!$K$4:$O$20,MATCH("경기도",고양시_재차인원!$K$4:$K$20,0),MATCH('A.일산테크노밸리(859991)_수정'!DL$95,고양시_재차인원!$K$4:$O$4,0))</f>
        <v>3.188453199599263E-5</v>
      </c>
      <c r="DM106" s="267">
        <f>INDEX($BC$94:$BP$107,MATCH($CW106,$L$94:$L$107,0),MATCH(DM$95,$BC$95:$BP$95,0))/INDEX(고양시_재차인원!$K$4:$O$20,MATCH("경기도",고양시_재차인원!$K$4:$K$20,0),MATCH('A.일산테크노밸리(859991)_수정'!DM$95,고양시_재차인원!$K$4:$O$4,0))</f>
        <v>1.313834866073667E-4</v>
      </c>
      <c r="DN106" s="268">
        <f>INDEX($BQ$94:$CD$107,MATCH($CW106,$L$94:$L$107,0),MATCH(DN$95,$BQ$95:$CD$95,0))/INDEX(고양시_재차인원!$D$4:$H$35,MATCH("고양시",고양시_재차인원!$B$4:$B$35,0),MATCH('A.일산테크노밸리(859991)_수정'!$DN$94,고양시_재차인원!$D$4:$H$4,0))</f>
        <v>4.7643435327238526E-2</v>
      </c>
      <c r="DO106" s="267">
        <f>INDEX($BQ$94:$CD$107,MATCH($CW106,$L$94:$L$107,0),MATCH(DO$95,$BQ$95:$CD$95,0))/INDEX(고양시_재차인원!$K$4:$O$20,MATCH("경기도",고양시_재차인원!$K$4:$K$20,0),MATCH('A.일산테크노밸리(859991)_수정'!DO$95,고양시_재차인원!$K$4:$O$4,0))</f>
        <v>1.9020634498300007E-4</v>
      </c>
      <c r="DP106" s="267">
        <f>INDEX($BQ$94:$CD$107,MATCH($CW106,$L$94:$L$107,0),MATCH(DP$95,$BQ$95:$CD$95,0))/INDEX(고양시_재차인원!$K$4:$O$20,MATCH("경기도",고양시_재차인원!$K$4:$K$20,0),MATCH('A.일산테크노밸리(859991)_수정'!DP$95,고양시_재차인원!$K$4:$O$4,0))</f>
        <v>6.3526877653535103E-4</v>
      </c>
      <c r="DQ106" s="267">
        <f>INDEX($BQ$94:$CD$107,MATCH($CW106,$L$94:$L$107,0),MATCH(DQ$95,$BQ$95:$CD$95,0))/INDEX(고양시_재차인원!$K$4:$O$20,MATCH("경기도",고양시_재차인원!$K$4:$K$20,0),MATCH('A.일산테크노밸리(859991)_수정'!DQ$95,고양시_재차인원!$K$4:$O$4,0))</f>
        <v>4.571530674349911E-5</v>
      </c>
      <c r="DR106" s="269">
        <f t="shared" si="57"/>
        <v>91.47444182484557</v>
      </c>
      <c r="DS106" s="270">
        <f t="shared" si="49"/>
        <v>7.7727803862673002E-4</v>
      </c>
      <c r="DT106" s="270">
        <f t="shared" si="50"/>
        <v>0.402595907759565</v>
      </c>
      <c r="DU106" s="270">
        <f t="shared" si="51"/>
        <v>9.9399204426799788</v>
      </c>
      <c r="DW106" s="278"/>
      <c r="DX106" s="278"/>
      <c r="DY106" s="281" t="b">
        <f>SUM(DY96:DY104)=DY105</f>
        <v>1</v>
      </c>
      <c r="DZ106" s="281" t="b">
        <f>SUM(DZ96:DZ104)=DZ105</f>
        <v>1</v>
      </c>
      <c r="EC106" s="412" t="s">
        <v>15</v>
      </c>
      <c r="ED106" s="412" t="s">
        <v>89</v>
      </c>
      <c r="EE106" s="412">
        <v>6744.6391999999996</v>
      </c>
      <c r="EF106" s="412">
        <v>3.132473616271262E-2</v>
      </c>
      <c r="EG106" s="413">
        <v>859012</v>
      </c>
      <c r="EH106" s="414">
        <f t="shared" si="52"/>
        <v>234.21600690476987</v>
      </c>
      <c r="EI106" s="415">
        <f t="shared" si="53"/>
        <v>0.93158853201565839</v>
      </c>
      <c r="EJ106" s="402">
        <v>0</v>
      </c>
      <c r="EM106" s="278" t="s">
        <v>15</v>
      </c>
      <c r="EN106" s="278" t="s">
        <v>89</v>
      </c>
      <c r="EO106" s="278">
        <v>6744.6391999999996</v>
      </c>
      <c r="EP106" s="278">
        <v>3.132473616271262E-2</v>
      </c>
      <c r="EQ106" s="289">
        <v>859012</v>
      </c>
      <c r="ER106" s="290">
        <f t="shared" si="34"/>
        <v>234.21600690476987</v>
      </c>
      <c r="ES106" s="291">
        <f t="shared" si="35"/>
        <v>0.93158853201565839</v>
      </c>
      <c r="ET106" s="402">
        <v>0</v>
      </c>
      <c r="EV106" s="34"/>
      <c r="EW106" s="34"/>
      <c r="EX106" s="34"/>
      <c r="EY106" s="34"/>
      <c r="EZ106" s="378"/>
      <c r="FA106" s="401"/>
      <c r="FB106" s="402"/>
      <c r="FC106" s="402"/>
    </row>
    <row r="107" spans="1:159" ht="17.5" thickBot="1">
      <c r="A107" s="205"/>
      <c r="B107" s="205" t="s">
        <v>26</v>
      </c>
      <c r="C107" s="400">
        <f>'A.일산테크노밸리(859991)_수정'!$P40*KTDB_TripDistribution_2025!T$12</f>
        <v>4742.8789386401286</v>
      </c>
      <c r="D107" s="400">
        <f>'A.일산테크노밸리(859991)_수정'!$P40*KTDB_TripDistribution_2025!U$12</f>
        <v>34325.18518518519</v>
      </c>
      <c r="E107" s="400">
        <f>'A.일산테크노밸리(859991)_수정'!$P40*KTDB_TripDistribution_2025!V$12</f>
        <v>1969.1509121061322</v>
      </c>
      <c r="F107" s="400">
        <f>'A.일산테크노밸리(859991)_수정'!$P40*KTDB_TripDistribution_2025!W$12</f>
        <v>3.094527363184068</v>
      </c>
      <c r="G107" s="400">
        <f>'A.일산테크노밸리(859991)_수정'!$P40*KTDB_TripDistribution_2025!X$12</f>
        <v>11.690436705362076</v>
      </c>
      <c r="H107" s="400">
        <f>'A.일산테크노밸리(859991)_수정'!$P40*KTDB_TripDistribution_2025!Y$12</f>
        <v>41052.000000000007</v>
      </c>
      <c r="I107" t="b">
        <f>H107=$P$40</f>
        <v>1</v>
      </c>
      <c r="J107" s="230">
        <f t="shared" si="54"/>
        <v>41051.999999999993</v>
      </c>
      <c r="K107" s="206"/>
      <c r="L107" s="209" t="s">
        <v>26</v>
      </c>
      <c r="M107" s="213">
        <f>INDEX($A$95:$H$107,MATCH($L107,$B$95:$B$107,0),MATCH($M$94,$A$95:$H$95,0))*고양시_Modal_split!C$3 * 0.01</f>
        <v>13.280061028192359</v>
      </c>
      <c r="N107" s="213">
        <f>INDEX($A$95:$H$107,MATCH($L107,$B$95:$B$107,0),MATCH($M$94,$A$95:$H$95,0))*고양시_Modal_split!D$3 * 0.01</f>
        <v>2230.5759648424528</v>
      </c>
      <c r="O107" s="213">
        <f>INDEX($A$95:$H$107,MATCH($L107,$B$95:$B$107,0),MATCH($M$94,$A$95:$H$95,0))*고양시_Modal_split!E$3 * 0.01</f>
        <v>269.86981160862331</v>
      </c>
      <c r="P107" s="213">
        <f>INDEX($A$95:$H$107,MATCH($L107,$B$95:$B$107,0),MATCH($M$94,$A$95:$H$95,0))*고양시_Modal_split!F$3 * 0.01</f>
        <v>434.92199867329981</v>
      </c>
      <c r="Q107" s="213">
        <f>INDEX($A$95:$H$107,MATCH($L107,$B$95:$B$107,0),MATCH($M$94,$A$95:$H$95,0))*고양시_Modal_split!G$3 * 0.01</f>
        <v>43.634486235489177</v>
      </c>
      <c r="R107" s="213">
        <f>INDEX($A$95:$H$107,MATCH($L107,$B$95:$B$107,0),MATCH($M$94,$A$95:$H$95,0))*고양시_Modal_split!H$3 * 0.01</f>
        <v>0.47428789386401288</v>
      </c>
      <c r="S107" s="213">
        <f>INDEX($A$95:$H$107,MATCH($L107,$B$95:$B$107,0),MATCH($M$94,$A$95:$H$95,0))*고양시_Modal_split!I$3 * 0.01</f>
        <v>131.85203449419555</v>
      </c>
      <c r="T107" s="213">
        <f>INDEX($A$95:$H$107,MATCH($L107,$B$95:$B$107,0),MATCH($M$94,$A$95:$H$95,0))*고양시_Modal_split!J$3 * 0.01</f>
        <v>1443.7323489220551</v>
      </c>
      <c r="U107" s="213">
        <f>INDEX($A$95:$H$107,MATCH($L107,$B$95:$B$107,0),MATCH($M$94,$A$95:$H$95,0))*고양시_Modal_split!K$3 * 0.01</f>
        <v>7.1143184079601927</v>
      </c>
      <c r="V107" s="213">
        <f>INDEX($A$95:$H$107,MATCH($L107,$B$95:$B$107,0),MATCH($M$94,$A$95:$H$95,0))*고양시_Modal_split!L$3 * 0.01</f>
        <v>143.23494394693191</v>
      </c>
      <c r="W107" s="213">
        <f>INDEX($A$95:$H$107,MATCH($L107,$B$95:$B$107,0),MATCH($M$94,$A$95:$H$95,0))*고양시_Modal_split!M$3 * 0.01</f>
        <v>10.908621558872294</v>
      </c>
      <c r="X107" s="213">
        <f>INDEX($A$95:$H$107,MATCH($L107,$B$95:$B$107,0),MATCH($M$94,$A$95:$H$95,0))*고양시_Modal_split!N$3 * 0.01</f>
        <v>4.7428789386401284</v>
      </c>
      <c r="Y107" s="213">
        <f>INDEX($A$95:$H$107,MATCH($L107,$B$95:$B$107,0),MATCH($M$94,$A$95:$H$95,0))*고양시_Modal_split!O$3 * 0.01</f>
        <v>8.5371820895522301</v>
      </c>
      <c r="Z107" s="213">
        <f>INDEX($A$95:$H$107,MATCH($L107,$B$95:$B$107,0),MATCH($M$94,$A$95:$H$95,0))*고양시_Modal_split!P$3 * 0.01</f>
        <v>4742.8789386401286</v>
      </c>
      <c r="AA107" s="213">
        <f>INDEX($A$95:$H$107,MATCH($L107,$B$95:$B$107,0),MATCH($AA$94,$A$95:$H$95,0))*고양시_Modal_split!C$4 * 0.01</f>
        <v>10448.586370370373</v>
      </c>
      <c r="AB107" s="213">
        <f>INDEX($A$95:$H$107,MATCH($L107,$B$95:$B$107,0),MATCH($AA$94,$A$95:$H$95,0))*고양시_Modal_split!D$4 * 0.01</f>
        <v>11008.086888888891</v>
      </c>
      <c r="AC107" s="213">
        <f>INDEX($A$95:$H$107,MATCH($L107,$B$95:$B$107,0),MATCH($AA$94,$A$95:$H$95,0))*고양시_Modal_split!E$4 * 0.01</f>
        <v>2667.0668888888895</v>
      </c>
      <c r="AD107" s="213">
        <f>INDEX($A$95:$H$107,MATCH($L107,$B$95:$B$107,0),MATCH($AA$94,$A$95:$H$95,0))*고양시_Modal_split!F$4 * 0.01</f>
        <v>326.08925925925928</v>
      </c>
      <c r="AE107" s="213">
        <f>INDEX($A$95:$H$107,MATCH($L107,$B$95:$B$107,0),MATCH($AA$94,$A$95:$H$95,0))*고양시_Modal_split!G$4 * 0.01</f>
        <v>4019.4791851851855</v>
      </c>
      <c r="AF107" s="213">
        <f>INDEX($A$95:$H$107,MATCH($L107,$B$95:$B$107,0),MATCH($AA$94,$A$95:$H$95,0))*고양시_Modal_split!H$4 * 0.01</f>
        <v>0</v>
      </c>
      <c r="AG107" s="213">
        <f>INDEX($A$95:$H$107,MATCH($L107,$B$95:$B$107,0),MATCH($AA$94,$A$95:$H$95,0))*고양시_Modal_split!I$4 * 0.01</f>
        <v>1194.5164444444445</v>
      </c>
      <c r="AH107" s="213">
        <f>INDEX($A$95:$H$107,MATCH($L107,$B$95:$B$107,0),MATCH($AA$94,$A$95:$H$95,0))*고양시_Modal_split!J$4 * 0.01</f>
        <v>1616.7162222222225</v>
      </c>
      <c r="AI107" s="213">
        <f>INDEX($A$95:$H$107,MATCH($L107,$B$95:$B$107,0),MATCH($AA$94,$A$95:$H$95,0))*고양시_Modal_split!K$4 * 0.01</f>
        <v>0</v>
      </c>
      <c r="AJ107" s="213">
        <f>INDEX($A$95:$H$107,MATCH($L107,$B$95:$B$107,0),MATCH($AA$94,$A$95:$H$95,0))*고양시_Modal_split!L$4 * 0.01</f>
        <v>1585.8235555555559</v>
      </c>
      <c r="AK107" s="213">
        <f>INDEX($A$95:$H$107,MATCH($L107,$B$95:$B$107,0),MATCH($AA$94,$A$95:$H$95,0))*고양시_Modal_split!M$4 * 0.01</f>
        <v>229.97874074074079</v>
      </c>
      <c r="AL107" s="213">
        <f>INDEX($A$95:$H$107,MATCH($L107,$B$95:$B$107,0),MATCH($AA$94,$A$95:$H$95,0))*고양시_Modal_split!N$4 * 0.01</f>
        <v>858.12962962962979</v>
      </c>
      <c r="AM107" s="213">
        <f>INDEX($A$95:$H$107,MATCH($L107,$B$95:$B$107,0),MATCH($AA$94,$A$95:$H$95,0))*고양시_Modal_split!O$4 * 0.01</f>
        <v>370.71200000000005</v>
      </c>
      <c r="AN107" s="213">
        <f>INDEX($A$95:$H$107,MATCH($L107,$B$95:$B$107,0),MATCH($AA$94,$A$95:$H$95,0))*고양시_Modal_split!P$4 * 0.01</f>
        <v>34325.18518518519</v>
      </c>
      <c r="AO107" s="213">
        <f>INDEX($A$95:$H$107,MATCH($L107,$B$95:$B$107,0),MATCH($AO$94,$A$95:$H$95,0))*고양시_Modal_split!C$5 * 0.01</f>
        <v>1.1814905472636792</v>
      </c>
      <c r="AP107" s="213">
        <f>INDEX($A$95:$H$107,MATCH($L107,$B$95:$B$107,0),MATCH($AO$94,$A$95:$H$95,0))*고양시_Modal_split!D$5 * 0.01</f>
        <v>1442.9937883913738</v>
      </c>
      <c r="AQ107" s="213">
        <f>INDEX($A$95:$H$107,MATCH($L107,$B$95:$B$107,0),MATCH($AO$94,$A$95:$H$95,0))*고양시_Modal_split!E$5 * 0.01</f>
        <v>193.96136484245403</v>
      </c>
      <c r="AR107" s="213">
        <f>INDEX($A$95:$H$107,MATCH($L107,$B$95:$B$107,0),MATCH($AO$94,$A$95:$H$95,0))*고양시_Modal_split!F$5 * 0.01</f>
        <v>41.352169154228775</v>
      </c>
      <c r="AS107" s="213">
        <f>INDEX($A$95:$H$107,MATCH($L107,$B$95:$B$107,0),MATCH($AO$94,$A$95:$H$95,0))*고양시_Modal_split!G$5 * 0.01</f>
        <v>12.79948092868986</v>
      </c>
      <c r="AT107" s="213">
        <f>INDEX($A$95:$H$107,MATCH($L107,$B$95:$B$107,0),MATCH($AO$94,$A$95:$H$95,0))*고양시_Modal_split!H$5 * 0.01</f>
        <v>1.3784056384742926</v>
      </c>
      <c r="AU107" s="213">
        <f>INDEX($A$95:$H$107,MATCH($L107,$B$95:$B$107,0),MATCH($AO$94,$A$95:$H$95,0))*고양시_Modal_split!I$5 * 0.01</f>
        <v>54.545480265339869</v>
      </c>
      <c r="AV107" s="213">
        <f>INDEX($A$95:$H$107,MATCH($L107,$B$95:$B$107,0),MATCH($AO$94,$A$95:$H$95,0))*고양시_Modal_split!J$5 * 0.01</f>
        <v>123.4657621890545</v>
      </c>
      <c r="AW107" s="213">
        <f>INDEX($A$95:$H$107,MATCH($L107,$B$95:$B$107,0),MATCH($AO$94,$A$95:$H$95,0))*고양시_Modal_split!K$5 * 0.01</f>
        <v>0.39383018242122647</v>
      </c>
      <c r="AX107" s="213">
        <f>INDEX($A$95:$H$107,MATCH($L107,$B$95:$B$107,0),MATCH($AO$94,$A$95:$H$95,0))*고양시_Modal_split!L$5 * 0.01</f>
        <v>50.213348258706368</v>
      </c>
      <c r="AY107" s="213">
        <f>INDEX($A$95:$H$107,MATCH($L107,$B$95:$B$107,0),MATCH($AO$94,$A$95:$H$95,0))*고양시_Modal_split!M$5 * 0.01</f>
        <v>13.193311111111086</v>
      </c>
      <c r="AZ107" s="213">
        <f>INDEX($A$95:$H$107,MATCH($L107,$B$95:$B$107,0),MATCH($AO$94,$A$95:$H$95,0))*고양시_Modal_split!N$5 * 0.01</f>
        <v>3.3475565505804248</v>
      </c>
      <c r="BA107" s="213">
        <f>INDEX($A$95:$H$107,MATCH($L107,$B$95:$B$107,0),MATCH($AO$94,$A$95:$H$95,0))*고양시_Modal_split!O$5 * 0.01</f>
        <v>30.324924046434436</v>
      </c>
      <c r="BB107" s="213">
        <f>INDEX($A$95:$H$107,MATCH($L107,$B$95:$B$107,0),MATCH($AO$94,$A$95:$H$95,0))*고양시_Modal_split!P$5 * 0.01</f>
        <v>1969.150912106132</v>
      </c>
      <c r="BC107" s="215">
        <f>INDEX($A$95:$H$107,MATCH($L107,$B$95:$B$107,0),MATCH($BC$94,$A$95:$H$95,0))*고양시_Modal_split!C$6 * 0.01</f>
        <v>0</v>
      </c>
      <c r="BD107" s="216">
        <f>INDEX($A$95:$H$107,MATCH($L107,$B$95:$B$107,0),MATCH($BC$94,$A$95:$H$95,0))*고양시_Modal_split!D$6 * 0.01</f>
        <v>2.5625781094527262</v>
      </c>
      <c r="BE107" s="216">
        <f>INDEX($A$95:$H$107,MATCH($L107,$B$95:$B$107,0),MATCH($BC$94,$A$95:$H$95,0))*고양시_Modal_split!E$6 * 0.01</f>
        <v>1.3306467661691492E-2</v>
      </c>
      <c r="BF107" s="216">
        <f>INDEX($A$95:$H$107,MATCH($L107,$B$95:$B$107,0),MATCH($BC$94,$A$95:$H$95,0))*고양시_Modal_split!F$6 * 0.01</f>
        <v>3.7753233830845633E-2</v>
      </c>
      <c r="BG107" s="216">
        <f>INDEX($A$95:$H$107,MATCH($L107,$B$95:$B$107,0),MATCH($BC$94,$A$95:$H$95,0))*고양시_Modal_split!G$6 * 0.01</f>
        <v>0</v>
      </c>
      <c r="BH107" s="216">
        <f>INDEX($A$95:$H$107,MATCH($L107,$B$95:$B$107,0),MATCH($BC$94,$A$95:$H$95,0))*고양시_Modal_split!H$6 * 0.01</f>
        <v>0.16431940298507403</v>
      </c>
      <c r="BI107" s="216">
        <f>INDEX($A$95:$H$107,MATCH($L107,$B$95:$B$107,0),MATCH($BC$94,$A$95:$H$95,0))*고양시_Modal_split!I$6 * 0.01</f>
        <v>0.10954626865671602</v>
      </c>
      <c r="BJ107" s="216">
        <f>INDEX($A$95:$H$107,MATCH($L107,$B$95:$B$107,0),MATCH($BC$94,$A$95:$H$95,0))*고양시_Modal_split!J$6 * 0.01</f>
        <v>0.15286965174129294</v>
      </c>
      <c r="BK107" s="216">
        <f>INDEX($A$95:$H$107,MATCH($L107,$B$95:$B$107,0),MATCH($BC$94,$A$95:$H$95,0))*고양시_Modal_split!K$6 * 0.01</f>
        <v>0</v>
      </c>
      <c r="BL107" s="216">
        <f>INDEX($A$95:$H$107,MATCH($L107,$B$95:$B$107,0),MATCH($BC$94,$A$95:$H$95,0))*고양시_Modal_split!L$6 * 0.01</f>
        <v>2.3518407960198915E-2</v>
      </c>
      <c r="BM107" s="216">
        <f>INDEX($A$95:$H$107,MATCH($L107,$B$95:$B$107,0),MATCH($BC$94,$A$95:$H$95,0))*고양시_Modal_split!M$6 * 0.01</f>
        <v>2.8160199004975017E-2</v>
      </c>
      <c r="BN107" s="216">
        <f>INDEX($A$95:$H$107,MATCH($L107,$B$95:$B$107,0),MATCH($BC$94,$A$95:$H$95,0))*고양시_Modal_split!N$6 * 0.01</f>
        <v>0</v>
      </c>
      <c r="BO107" s="216">
        <f>INDEX($A$95:$H$107,MATCH($L107,$B$95:$B$107,0),MATCH($BC$94,$A$95:$H$95,0))*고양시_Modal_split!O$6 * 0.01</f>
        <v>2.4756218905472543E-3</v>
      </c>
      <c r="BP107" s="217">
        <f>INDEX($A$95:$H$107,MATCH($L107,$B$95:$B$107,0),MATCH($BC$94,$A$95:$H$95,0))*고양시_Modal_split!P$6 * 0.01</f>
        <v>3.094527363184068</v>
      </c>
      <c r="BQ107" s="213">
        <f>INDEX($A$95:$H$107,MATCH($L107,$B$95:$B$107,0),MATCH($BQ$94,$A$95:$H$95,0))*고양시_Modal_split!C$7 * 0.01</f>
        <v>0</v>
      </c>
      <c r="BR107" s="213">
        <f>INDEX($A$95:$H$107,MATCH($L107,$B$95:$B$107,0),MATCH($BQ$94,$A$95:$H$95,0))*고양시_Modal_split!D$7 * 0.01</f>
        <v>7.1638996130458805</v>
      </c>
      <c r="BS107" s="213">
        <f>INDEX($A$95:$H$107,MATCH($L107,$B$95:$B$107,0),MATCH($BQ$94,$A$95:$H$95,0))*고양시_Modal_split!E$7 * 0.01</f>
        <v>0.34954405749032602</v>
      </c>
      <c r="BT107" s="213">
        <f>INDEX($A$95:$H$107,MATCH($L107,$B$95:$B$107,0),MATCH($BQ$94,$A$95:$H$95,0))*고양시_Modal_split!F$7 * 0.01</f>
        <v>0.11690436705362077</v>
      </c>
      <c r="BU107" s="213">
        <f>INDEX($A$95:$H$107,MATCH($L107,$B$95:$B$107,0),MATCH($BQ$94,$A$95:$H$95,0))*고양시_Modal_split!G$7 * 0.01</f>
        <v>4.9099834162520714E-2</v>
      </c>
      <c r="BV107" s="213">
        <f>INDEX($A$95:$H$107,MATCH($L107,$B$95:$B$107,0),MATCH($BQ$94,$A$95:$H$95,0))*고양시_Modal_split!H$7 * 0.01</f>
        <v>0.65349541182974014</v>
      </c>
      <c r="BW107" s="213">
        <f>INDEX($A$95:$H$107,MATCH($L107,$B$95:$B$107,0),MATCH($BQ$94,$A$95:$H$95,0))*고양시_Modal_split!I$7 * 0.01</f>
        <v>2.1826045328911001</v>
      </c>
      <c r="BX107" s="213">
        <f>INDEX($A$95:$H$107,MATCH($L107,$B$95:$B$107,0),MATCH($BQ$94,$A$95:$H$95,0))*고양시_Modal_split!J$7 * 0.01</f>
        <v>2.3380873410724155E-3</v>
      </c>
      <c r="BY107" s="213">
        <f>INDEX($A$95:$H$107,MATCH($L107,$B$95:$B$107,0),MATCH($BQ$94,$A$95:$H$95,0))*고양시_Modal_split!K$7 * 0.01</f>
        <v>0.90016362631287994</v>
      </c>
      <c r="BZ107" s="213">
        <f>INDEX($A$95:$H$107,MATCH($L107,$B$95:$B$107,0),MATCH($BQ$94,$A$95:$H$95,0))*고양시_Modal_split!L$7 * 0.01</f>
        <v>8.1833056937534523E-3</v>
      </c>
      <c r="CA107" s="213">
        <f>INDEX($A$95:$H$107,MATCH($L107,$B$95:$B$107,0),MATCH($BQ$94,$A$95:$H$95,0))*고양시_Modal_split!M$7 * 0.01</f>
        <v>0.21861116639027084</v>
      </c>
      <c r="CB107" s="213">
        <f>INDEX($A$95:$H$107,MATCH($L107,$B$95:$B$107,0),MATCH($BQ$94,$A$95:$H$95,0))*고양시_Modal_split!N$7 * 0.01</f>
        <v>4.5592703150912101E-2</v>
      </c>
      <c r="CC107" s="213">
        <f>INDEX($A$95:$H$107,MATCH($L107,$B$95:$B$107,0),MATCH($BQ$94,$A$95:$H$95,0))*고양시_Modal_split!O$7 * 0.01</f>
        <v>0</v>
      </c>
      <c r="CD107" s="213">
        <f>INDEX($A$95:$H$107,MATCH($L107,$B$95:$B$107,0),MATCH($BQ$94,$A$95:$H$95,0))*고양시_Modal_split!P$7 * 0.01</f>
        <v>11.690436705362076</v>
      </c>
      <c r="CE107" s="220">
        <f t="shared" si="55"/>
        <v>10463.047921945828</v>
      </c>
      <c r="CF107" s="221">
        <f t="shared" si="36"/>
        <v>14691.383119845217</v>
      </c>
      <c r="CG107" s="221">
        <f t="shared" si="37"/>
        <v>3131.2609158651185</v>
      </c>
      <c r="CH107" s="221">
        <f t="shared" si="38"/>
        <v>802.5180846876724</v>
      </c>
      <c r="CI107" s="221">
        <f t="shared" si="39"/>
        <v>4075.9622521835267</v>
      </c>
      <c r="CJ107" s="221">
        <f t="shared" si="40"/>
        <v>2.6705083471531195</v>
      </c>
      <c r="CK107" s="221">
        <f t="shared" si="41"/>
        <v>1383.2061100055275</v>
      </c>
      <c r="CL107" s="221">
        <f t="shared" si="42"/>
        <v>3184.0695410724147</v>
      </c>
      <c r="CM107" s="221">
        <f t="shared" si="43"/>
        <v>8.4083122166942985</v>
      </c>
      <c r="CN107" s="221">
        <f t="shared" si="44"/>
        <v>1779.3035494748483</v>
      </c>
      <c r="CO107" s="221">
        <f t="shared" si="45"/>
        <v>254.32744477611942</v>
      </c>
      <c r="CP107" s="221">
        <f t="shared" si="46"/>
        <v>866.26565782200123</v>
      </c>
      <c r="CQ107" s="221">
        <f t="shared" si="47"/>
        <v>409.57658175787725</v>
      </c>
      <c r="CR107" s="222">
        <f t="shared" si="48"/>
        <v>41051.999999999993</v>
      </c>
      <c r="CS107" s="225">
        <f t="shared" si="56"/>
        <v>0</v>
      </c>
      <c r="CV107" s="265"/>
      <c r="CW107" s="266" t="s">
        <v>26</v>
      </c>
      <c r="CX107" s="267">
        <f>INDEX($M$94:$Z$107,MATCH($CW107,$L$94:$L$107,0),MATCH(CX$95,$M$95:$Z$95,0))/INDEX(고양시_재차인원!$D$4:$H$35,MATCH("고양시",고양시_재차인원!$B$4:$B$35,0),MATCH('A.일산테크노밸리(859991)_수정'!$CX$94,고양시_재차인원!$D$4:$H$4,0))</f>
        <v>1991.5856828950468</v>
      </c>
      <c r="CY107" s="267">
        <f>INDEX($M$94:$Z$107,MATCH($CW107,$L$94:$L$107,0),MATCH(CY$95,$M$95:$Z$95,0))/INDEX(고양시_재차인원!$K$4:$O$20,MATCH("경기도",고양시_재차인원!$K$4:$K$20,0),MATCH('A.일산테크노밸리(859991)_수정'!CY$95,고양시_재차인원!$K$4:$O$4,0))</f>
        <v>1.6474049804238031E-2</v>
      </c>
      <c r="CZ107" s="267">
        <f>INDEX($M$94:$Z$107,MATCH($CW107,$L$94:$L$107,0),MATCH(CZ$95,$M$95:$Z$95,0))/INDEX(고양시_재차인원!$K$4:$O$20,MATCH("경기도",고양시_재차인원!$K$4:$K$20,0),MATCH('A.일산테크노밸리(859991)_수정'!CZ$95,고양시_재차인원!$K$4:$O$4,0))</f>
        <v>4.5797858455781713</v>
      </c>
      <c r="DA107" s="267">
        <f>INDEX($M$94:$Z$107,MATCH($CW107,$L$94:$L$107,0),MATCH(DA$95,$M$95:$Z$95,0))/INDEX(고양시_재차인원!$K$4:$O$20,MATCH("경기도",고양시_재차인원!$K$4:$K$20,0),MATCH('A.일산테크노밸리(859991)_수정'!DA$95,고양시_재차인원!$K$4:$O$4,0))</f>
        <v>95.489962631287938</v>
      </c>
      <c r="DB107" s="272">
        <f>INDEX($AA$94:$AN$107,MATCH($CW107,$L$94:$L$107,0),MATCH(DB$95,$AA$95:$AN$95,0))/INDEX(고양시_재차인원!$D$4:$H$35,MATCH("고양시",고양시_재차인원!$B$4:$B$35,0),MATCH('A.일산테크노밸리(859991)_수정'!$DB$94,고양시_재차인원!$D$4:$H$4,0))</f>
        <v>7807.1538219070153</v>
      </c>
      <c r="DC107" s="273">
        <f>INDEX($AA$94:$AN$107,MATCH($CW107,$L$94:$L$107,0),MATCH(DC$95,$AA$95:$AN$95,0))/INDEX(고양시_재차인원!$K$4:$O$20,MATCH("경기도",고양시_재차인원!$K$4:$K$20,0),MATCH('A.일산테크노밸리(859991)_수정'!DC$95,고양시_재차인원!$K$4:$O$4,0))</f>
        <v>0</v>
      </c>
      <c r="DD107" s="273">
        <f>INDEX($AA$94:$AN$107,MATCH($CW107,$L$94:$L$107,0),MATCH(DD$95,$AA$95:$AN$95,0))/INDEX(고양시_재차인원!$K$4:$O$20,MATCH("경기도",고양시_재차인원!$K$4:$K$20,0),MATCH('A.일산테크노밸리(859991)_수정'!DD$95,고양시_재차인원!$K$4:$O$4,0))</f>
        <v>41.490671915402729</v>
      </c>
      <c r="DE107" s="273">
        <f>INDEX($AA$94:$AN$107,MATCH($CW107,$L$94:$L$107,0),MATCH(DE$95,$AA$95:$AN$95,0))/INDEX(고양시_재차인원!$K$4:$O$20,MATCH("경기도",고양시_재차인원!$K$4:$K$20,0),MATCH('A.일산테크노밸리(859991)_수정'!DE$95,고양시_재차인원!$K$4:$O$4,0))</f>
        <v>1057.2157037037039</v>
      </c>
      <c r="DF107" s="272">
        <f>INDEX($AO$94:$BB$107,MATCH($CW107,$L$94:$L$107,0),MATCH(DF$95,$AO$95:$BB$95,0))/INDEX(고양시_재차인원!$D$4:$H$35,MATCH("고양시",고양시_재차인원!$B$4:$B$35,0),MATCH('A.일산테크노밸리(859991)_수정'!$DF$94,고양시_재차인원!$D$4:$H$4,0))</f>
        <v>1109.9952218395183</v>
      </c>
      <c r="DG107" s="273">
        <f>INDEX($AO$94:$BB$107,MATCH($CW107,$L$94:$L$107,0),MATCH(DG$95,$AO$95:$BB$95,0))/INDEX(고양시_재차인원!$K$4:$O$20,MATCH("경기도",고양시_재차인원!$K$4:$K$20,0),MATCH('A.일산테크노밸리(859991)_수정'!DG$95,고양시_재차인원!$K$4:$O$4,0))</f>
        <v>4.7877931173125832E-2</v>
      </c>
      <c r="DH107" s="273">
        <f>INDEX($AO$94:$BB$107,MATCH($CW107,$L$94:$L$107,0),MATCH(DH$95,$AO$95:$BB$95,0))/INDEX(고양시_재차인원!$K$4:$O$20,MATCH("경기도",고양시_재차인원!$K$4:$K$20,0),MATCH('A.일산테크노밸리(859991)_수정'!DH$95,고양시_재차인원!$K$4:$O$4,0))</f>
        <v>1.8945981335651223</v>
      </c>
      <c r="DI107" s="273">
        <f>INDEX($AO$94:$BB$107,MATCH($CW107,$L$94:$L$107,0),MATCH(DI$95,$AO$95:$BB$95,0))/INDEX(고양시_재차인원!$K$4:$O$20,MATCH("경기도",고양시_재차인원!$K$4:$K$20,0),MATCH('A.일산테크노밸리(859991)_수정'!DI$95,고양시_재차인원!$K$4:$O$4,0))</f>
        <v>33.475565505804248</v>
      </c>
      <c r="DJ107" s="272">
        <f>INDEX($BC$94:$BP$107,MATCH($CW107,$L$94:$L$107,0),MATCH(DJ$95,$BC$95:$BP$95,0))/INDEX(고양시_재차인원!$D$4:$H$35,MATCH("고양시",고양시_재차인원!$B$4:$B$35,0),MATCH('A.일산테크노밸리(859991)_수정'!$DJ$94,고양시_재차인원!$D$4:$H$4,0))</f>
        <v>1.8842486098917104</v>
      </c>
      <c r="DK107" s="273">
        <f>INDEX($BC$94:$BP$107,MATCH($CW107,$L$94:$L$107,0),MATCH(DK$95,$BC$95:$BP$95,0))/INDEX(고양시_재차인원!$K$4:$O$20,MATCH("경기도",고양시_재차인원!$K$4:$K$20,0),MATCH('A.일산테크노밸리(859991)_수정'!DK$95,고양시_재차인원!$K$4:$O$4,0))</f>
        <v>5.7075166024687053E-3</v>
      </c>
      <c r="DL107" s="273">
        <f>INDEX($BC$94:$BP$107,MATCH($CW107,$L$94:$L$107,0),MATCH(DL$95,$BC$95:$BP$95,0))/INDEX(고양시_재차인원!$K$4:$O$20,MATCH("경기도",고양시_재차인원!$K$4:$K$20,0),MATCH('A.일산테크노밸리(859991)_수정'!DL$95,고양시_재차인원!$K$4:$O$4,0))</f>
        <v>3.8050110683124703E-3</v>
      </c>
      <c r="DM107" s="273">
        <f>INDEX($BC$94:$BP$107,MATCH($CW107,$L$94:$L$107,0),MATCH(DM$95,$BC$95:$BP$95,0))/INDEX(고양시_재차인원!$K$4:$O$20,MATCH("경기도",고양시_재차인원!$K$4:$K$20,0),MATCH('A.일산테크노밸리(859991)_수정'!DM$95,고양시_재차인원!$K$4:$O$4,0))</f>
        <v>1.567893864013261E-2</v>
      </c>
      <c r="DN107" s="272">
        <f>INDEX($BQ$94:$CD$107,MATCH($CW107,$L$94:$L$107,0),MATCH(DN$95,$BQ$95:$CD$95,0))/INDEX(고양시_재차인원!$D$4:$H$35,MATCH("고양시",고양시_재차인원!$B$4:$B$35,0),MATCH('A.일산테크노밸리(859991)_수정'!$DN$94,고양시_재차인원!$D$4:$H$4,0))</f>
        <v>5.6856346135284763</v>
      </c>
      <c r="DO107" s="273">
        <f>INDEX($BQ$94:$CD$107,MATCH($CW107,$L$94:$L$107,0),MATCH(DO$95,$BQ$95:$CD$95,0))/INDEX(고양시_재차인원!$K$4:$O$20,MATCH("경기도",고양시_재차인원!$K$4:$K$20,0),MATCH('A.일산테크노밸리(859991)_수정'!DO$95,고양시_재차인원!$K$4:$O$4,0))</f>
        <v>2.2698694401866625E-2</v>
      </c>
      <c r="DP107" s="273">
        <f>INDEX($BQ$94:$CD$107,MATCH($CW107,$L$94:$L$107,0),MATCH(DP$95,$BQ$95:$CD$95,0))/INDEX(고양시_재차인원!$K$4:$O$20,MATCH("경기도",고양시_재차인원!$K$4:$K$20,0),MATCH('A.일산테크노밸리(859991)_수정'!DP$95,고양시_재차인원!$K$4:$O$4,0))</f>
        <v>7.5811202948631473E-2</v>
      </c>
      <c r="DQ107" s="273">
        <f>INDEX($BQ$94:$CD$107,MATCH($CW107,$L$94:$L$107,0),MATCH(DQ$95,$BQ$95:$CD$95,0))/INDEX(고양시_재차인원!$K$4:$O$20,MATCH("경기도",고양시_재차인원!$K$4:$K$20,0),MATCH('A.일산테크노밸리(859991)_수정'!DQ$95,고양시_재차인원!$K$4:$O$4,0))</f>
        <v>5.4555371291689679E-3</v>
      </c>
      <c r="DR107" s="274">
        <f t="shared" si="57"/>
        <v>10916.304609865001</v>
      </c>
      <c r="DS107" s="275">
        <f t="shared" si="49"/>
        <v>9.2758191981699198E-2</v>
      </c>
      <c r="DT107" s="275">
        <f t="shared" si="50"/>
        <v>48.04467210856297</v>
      </c>
      <c r="DU107" s="275">
        <f t="shared" si="51"/>
        <v>1186.2023663165653</v>
      </c>
      <c r="EC107" s="412" t="s">
        <v>15</v>
      </c>
      <c r="ED107" s="412" t="s">
        <v>90</v>
      </c>
      <c r="EE107" s="412">
        <v>9730.2787000000008</v>
      </c>
      <c r="EF107" s="412">
        <v>4.519121097940456E-2</v>
      </c>
      <c r="EG107" s="413">
        <v>859013</v>
      </c>
      <c r="EH107" s="414">
        <f t="shared" si="52"/>
        <v>337.89606168770831</v>
      </c>
      <c r="EI107" s="415">
        <f t="shared" si="53"/>
        <v>1.3439734552793023</v>
      </c>
      <c r="EJ107" s="402">
        <v>0</v>
      </c>
      <c r="EM107" s="278" t="s">
        <v>15</v>
      </c>
      <c r="EN107" s="278" t="s">
        <v>90</v>
      </c>
      <c r="EO107" s="278">
        <v>9730.2787000000008</v>
      </c>
      <c r="EP107" s="278">
        <v>4.519121097940456E-2</v>
      </c>
      <c r="EQ107" s="289">
        <v>859013</v>
      </c>
      <c r="ER107" s="290">
        <f t="shared" si="34"/>
        <v>337.89606168770831</v>
      </c>
      <c r="ES107" s="291">
        <f t="shared" si="35"/>
        <v>1.3439734552793023</v>
      </c>
      <c r="ET107" s="402">
        <v>0</v>
      </c>
      <c r="EV107" s="34"/>
      <c r="EW107" s="34"/>
      <c r="EX107" s="34"/>
      <c r="EY107" s="34"/>
      <c r="EZ107" s="378"/>
      <c r="FA107" s="401"/>
      <c r="FB107" s="402"/>
      <c r="FC107" s="402"/>
    </row>
    <row r="108" spans="1:159" ht="16.5" customHeight="1">
      <c r="J108" s="230"/>
      <c r="EC108" s="412" t="s">
        <v>15</v>
      </c>
      <c r="ED108" s="412" t="s">
        <v>91</v>
      </c>
      <c r="EE108" s="412">
        <v>11598.4503</v>
      </c>
      <c r="EF108" s="412">
        <v>5.386772883919945E-2</v>
      </c>
      <c r="EG108" s="413">
        <v>859014</v>
      </c>
      <c r="EH108" s="414">
        <f t="shared" si="52"/>
        <v>402.77065014084536</v>
      </c>
      <c r="EI108" s="415">
        <f t="shared" si="53"/>
        <v>1.6020105699106297</v>
      </c>
      <c r="EJ108" s="402">
        <v>0</v>
      </c>
      <c r="EM108" s="278" t="s">
        <v>15</v>
      </c>
      <c r="EN108" s="278" t="s">
        <v>91</v>
      </c>
      <c r="EO108" s="278">
        <v>11598.4503</v>
      </c>
      <c r="EP108" s="278">
        <v>5.386772883919945E-2</v>
      </c>
      <c r="EQ108" s="289">
        <v>859014</v>
      </c>
      <c r="ER108" s="290">
        <f t="shared" si="34"/>
        <v>402.77065014084536</v>
      </c>
      <c r="ES108" s="291">
        <f t="shared" si="35"/>
        <v>1.6020105699106297</v>
      </c>
      <c r="ET108" s="402">
        <v>0</v>
      </c>
      <c r="EV108" s="34"/>
      <c r="EW108" s="34"/>
      <c r="EX108" s="34"/>
      <c r="EY108" s="34"/>
      <c r="EZ108" s="378"/>
      <c r="FA108" s="401"/>
      <c r="FB108" s="402"/>
      <c r="FC108" s="402"/>
    </row>
    <row r="109" spans="1:159">
      <c r="EC109" s="412" t="s">
        <v>15</v>
      </c>
      <c r="ED109" s="412" t="s">
        <v>92</v>
      </c>
      <c r="EE109" s="412">
        <v>20670.0766</v>
      </c>
      <c r="EF109" s="412">
        <v>9.5999901070773372E-2</v>
      </c>
      <c r="EG109" s="413">
        <v>859015</v>
      </c>
      <c r="EH109" s="414">
        <f t="shared" si="52"/>
        <v>717.79418588732278</v>
      </c>
      <c r="EI109" s="415">
        <f t="shared" si="53"/>
        <v>2.8550091035922596</v>
      </c>
      <c r="EJ109" s="402">
        <v>0</v>
      </c>
      <c r="EM109" s="278" t="s">
        <v>15</v>
      </c>
      <c r="EN109" s="278" t="s">
        <v>92</v>
      </c>
      <c r="EO109" s="278">
        <v>20670.0766</v>
      </c>
      <c r="EP109" s="278">
        <v>9.5999901070773372E-2</v>
      </c>
      <c r="EQ109" s="289">
        <v>859015</v>
      </c>
      <c r="ER109" s="290">
        <f t="shared" si="34"/>
        <v>717.79418588732278</v>
      </c>
      <c r="ES109" s="291">
        <f t="shared" si="35"/>
        <v>2.8550091035922596</v>
      </c>
      <c r="ET109" s="402">
        <v>0</v>
      </c>
      <c r="EV109" s="34"/>
      <c r="EW109" s="34"/>
      <c r="EX109" s="34"/>
      <c r="EY109" s="34"/>
      <c r="EZ109" s="378"/>
      <c r="FA109" s="401"/>
      <c r="FB109" s="402"/>
      <c r="FC109" s="402"/>
    </row>
    <row r="110" spans="1:159" ht="16.5" customHeight="1">
      <c r="EC110" s="412" t="s">
        <v>15</v>
      </c>
      <c r="ED110" s="412" t="s">
        <v>93</v>
      </c>
      <c r="EE110" s="412">
        <v>6590.8657999999996</v>
      </c>
      <c r="EF110" s="412">
        <v>3.061055249165083E-2</v>
      </c>
      <c r="EG110" s="413">
        <v>859016</v>
      </c>
      <c r="EH110" s="414">
        <f t="shared" si="52"/>
        <v>228.87603383161132</v>
      </c>
      <c r="EI110" s="415">
        <f t="shared" si="53"/>
        <v>0.91034891760173153</v>
      </c>
      <c r="EJ110" s="402">
        <v>0</v>
      </c>
      <c r="EM110" s="278" t="s">
        <v>15</v>
      </c>
      <c r="EN110" s="278" t="s">
        <v>93</v>
      </c>
      <c r="EO110" s="278">
        <v>6590.8657999999996</v>
      </c>
      <c r="EP110" s="278">
        <v>3.061055249165083E-2</v>
      </c>
      <c r="EQ110" s="289">
        <v>859016</v>
      </c>
      <c r="ER110" s="290">
        <f t="shared" si="34"/>
        <v>228.87603383161132</v>
      </c>
      <c r="ES110" s="291">
        <f t="shared" si="35"/>
        <v>0.91034891760173153</v>
      </c>
      <c r="ET110" s="402">
        <v>0</v>
      </c>
      <c r="EV110" s="34"/>
      <c r="EW110" s="34"/>
      <c r="EX110" s="34"/>
      <c r="EY110" s="34"/>
      <c r="EZ110" s="378"/>
      <c r="FA110" s="401"/>
      <c r="FB110" s="402"/>
      <c r="FC110" s="402"/>
    </row>
    <row r="111" spans="1:159">
      <c r="EC111" s="412" t="s">
        <v>15</v>
      </c>
      <c r="ED111" s="412" t="s">
        <v>94</v>
      </c>
      <c r="EE111" s="412">
        <v>3970.3760000000002</v>
      </c>
      <c r="EF111" s="412">
        <v>1.843997536098985E-2</v>
      </c>
      <c r="EG111" s="413">
        <v>859017</v>
      </c>
      <c r="EH111" s="414">
        <f t="shared" si="52"/>
        <v>137.87625772932864</v>
      </c>
      <c r="EI111" s="415">
        <f t="shared" si="53"/>
        <v>0.54839949769147056</v>
      </c>
      <c r="EJ111" s="402">
        <v>0</v>
      </c>
      <c r="EM111" s="278" t="s">
        <v>15</v>
      </c>
      <c r="EN111" s="278" t="s">
        <v>94</v>
      </c>
      <c r="EO111" s="278">
        <v>3970.3760000000002</v>
      </c>
      <c r="EP111" s="278">
        <v>1.843997536098985E-2</v>
      </c>
      <c r="EQ111" s="289">
        <v>859017</v>
      </c>
      <c r="ER111" s="290">
        <f t="shared" si="34"/>
        <v>137.87625772932864</v>
      </c>
      <c r="ES111" s="291">
        <f t="shared" si="35"/>
        <v>0.54839949769147056</v>
      </c>
      <c r="ET111" s="402">
        <v>0</v>
      </c>
      <c r="EV111" s="34"/>
      <c r="EW111" s="34"/>
      <c r="EX111" s="34"/>
      <c r="EY111" s="34"/>
      <c r="EZ111" s="378"/>
      <c r="FA111" s="401"/>
      <c r="FB111" s="402"/>
      <c r="FC111" s="402"/>
    </row>
    <row r="112" spans="1:159" ht="16.5" customHeight="1">
      <c r="EC112" s="412" t="s">
        <v>15</v>
      </c>
      <c r="ED112" s="412" t="s">
        <v>95</v>
      </c>
      <c r="EE112" s="412">
        <v>14487.1335</v>
      </c>
      <c r="EF112" s="412">
        <v>6.7283900766922491E-2</v>
      </c>
      <c r="EG112" s="413">
        <v>859018</v>
      </c>
      <c r="EH112" s="414">
        <f t="shared" si="52"/>
        <v>503.08377650005707</v>
      </c>
      <c r="EI112" s="415">
        <f t="shared" si="53"/>
        <v>2.0010036163802312</v>
      </c>
      <c r="EJ112" s="402">
        <v>0</v>
      </c>
      <c r="EM112" s="278" t="s">
        <v>15</v>
      </c>
      <c r="EN112" s="278" t="s">
        <v>95</v>
      </c>
      <c r="EO112" s="278">
        <v>14487.1335</v>
      </c>
      <c r="EP112" s="278">
        <v>6.7283900766922491E-2</v>
      </c>
      <c r="EQ112" s="289">
        <v>859018</v>
      </c>
      <c r="ER112" s="290">
        <f t="shared" si="34"/>
        <v>503.08377650005707</v>
      </c>
      <c r="ES112" s="291">
        <f t="shared" si="35"/>
        <v>2.0010036163802312</v>
      </c>
      <c r="ET112" s="402">
        <v>0</v>
      </c>
      <c r="EV112" s="34"/>
      <c r="EW112" s="34"/>
      <c r="EX112" s="34"/>
      <c r="EY112" s="34"/>
      <c r="EZ112" s="378"/>
      <c r="FA112" s="401"/>
      <c r="FB112" s="402"/>
      <c r="FC112" s="402"/>
    </row>
    <row r="113" spans="32:159">
      <c r="AP113" t="s">
        <v>147</v>
      </c>
      <c r="AQ113" t="s">
        <v>148</v>
      </c>
      <c r="AR113" s="32" t="s">
        <v>74</v>
      </c>
      <c r="AS113" t="s">
        <v>564</v>
      </c>
      <c r="EC113" s="412" t="s">
        <v>15</v>
      </c>
      <c r="ED113" s="412" t="s">
        <v>96</v>
      </c>
      <c r="EE113" s="412">
        <v>7440.5132000000003</v>
      </c>
      <c r="EF113" s="412">
        <v>3.4556646544589169E-2</v>
      </c>
      <c r="EG113" s="413">
        <v>859019</v>
      </c>
      <c r="EH113" s="414">
        <f t="shared" si="52"/>
        <v>258.38109932199666</v>
      </c>
      <c r="EI113" s="415">
        <f t="shared" si="53"/>
        <v>1.0277046056712908</v>
      </c>
      <c r="EJ113" s="402">
        <v>0</v>
      </c>
      <c r="EM113" s="278" t="s">
        <v>15</v>
      </c>
      <c r="EN113" s="278" t="s">
        <v>96</v>
      </c>
      <c r="EO113" s="278">
        <v>7440.5132000000003</v>
      </c>
      <c r="EP113" s="278">
        <v>3.4556646544589169E-2</v>
      </c>
      <c r="EQ113" s="289">
        <v>859019</v>
      </c>
      <c r="ER113" s="290">
        <f t="shared" si="34"/>
        <v>258.38109932199666</v>
      </c>
      <c r="ES113" s="291">
        <f t="shared" si="35"/>
        <v>1.0277046056712908</v>
      </c>
      <c r="ET113" s="402">
        <v>0</v>
      </c>
      <c r="EV113" s="34"/>
      <c r="EW113" s="34"/>
      <c r="EX113" s="34"/>
      <c r="EY113" s="34"/>
      <c r="EZ113" s="378"/>
      <c r="FA113" s="401"/>
      <c r="FB113" s="402"/>
      <c r="FC113" s="402"/>
    </row>
    <row r="114" spans="32:159">
      <c r="AP114" t="s">
        <v>12</v>
      </c>
      <c r="AQ114" t="s">
        <v>73</v>
      </c>
      <c r="AR114" s="75">
        <v>11477.778199999999</v>
      </c>
      <c r="AS114" s="277">
        <f>AR114/SUMIF($AP$114:$AP$158,"="&amp;$AP114,$AR$114:$AR$158)</f>
        <v>1</v>
      </c>
      <c r="EC114" s="412" t="s">
        <v>15</v>
      </c>
      <c r="ED114" s="412" t="s">
        <v>97</v>
      </c>
      <c r="EE114" s="412">
        <v>20150.029900000001</v>
      </c>
      <c r="EF114" s="412">
        <v>9.3584601276858623E-2</v>
      </c>
      <c r="EG114" s="413">
        <v>859020</v>
      </c>
      <c r="EH114" s="414">
        <f t="shared" si="52"/>
        <v>699.73491572235935</v>
      </c>
      <c r="EI114" s="415">
        <f t="shared" si="53"/>
        <v>2.7831787910334223</v>
      </c>
      <c r="EJ114" s="402">
        <v>0</v>
      </c>
      <c r="EM114" s="278" t="s">
        <v>15</v>
      </c>
      <c r="EN114" s="278" t="s">
        <v>97</v>
      </c>
      <c r="EO114" s="278">
        <v>20150.029900000001</v>
      </c>
      <c r="EP114" s="278">
        <v>9.3584601276858623E-2</v>
      </c>
      <c r="EQ114" s="289">
        <v>859020</v>
      </c>
      <c r="ER114" s="290">
        <f t="shared" si="34"/>
        <v>699.73491572235935</v>
      </c>
      <c r="ES114" s="291">
        <f t="shared" si="35"/>
        <v>2.7831787910334223</v>
      </c>
      <c r="ET114" s="402">
        <v>0</v>
      </c>
      <c r="EV114" s="34"/>
      <c r="EW114" s="34"/>
      <c r="EX114" s="34"/>
      <c r="EY114" s="34"/>
      <c r="EZ114" s="378"/>
      <c r="FA114" s="401"/>
      <c r="FB114" s="402"/>
      <c r="FC114" s="402"/>
    </row>
    <row r="115" spans="32:159">
      <c r="AP115" t="s">
        <v>13</v>
      </c>
      <c r="AQ115" t="s">
        <v>75</v>
      </c>
      <c r="AR115" s="75">
        <v>907.24059999999997</v>
      </c>
      <c r="AS115" s="277">
        <f t="shared" ref="AS115:AS158" si="60">AR115/SUMIF($AP$114:$AP$158,"="&amp;$AP115,$AR$114:$AR$158)</f>
        <v>0.22444210067316503</v>
      </c>
      <c r="EC115" s="412" t="s">
        <v>15</v>
      </c>
      <c r="ED115" s="412" t="s">
        <v>98</v>
      </c>
      <c r="EE115" s="412">
        <v>8631.4781000000003</v>
      </c>
      <c r="EF115" s="412">
        <v>4.0087952247576428E-2</v>
      </c>
      <c r="EG115" s="413">
        <v>859021</v>
      </c>
      <c r="EH115" s="414">
        <f t="shared" si="52"/>
        <v>299.73884062886128</v>
      </c>
      <c r="EI115" s="415">
        <f t="shared" si="53"/>
        <v>1.1922040266148419</v>
      </c>
      <c r="EJ115" s="402">
        <v>0</v>
      </c>
      <c r="EM115" s="278" t="s">
        <v>15</v>
      </c>
      <c r="EN115" s="278" t="s">
        <v>98</v>
      </c>
      <c r="EO115" s="278">
        <v>8631.4781000000003</v>
      </c>
      <c r="EP115" s="278">
        <v>4.0087952247576428E-2</v>
      </c>
      <c r="EQ115" s="289">
        <v>859021</v>
      </c>
      <c r="ER115" s="290">
        <f t="shared" si="34"/>
        <v>299.73884062886128</v>
      </c>
      <c r="ES115" s="291">
        <f t="shared" si="35"/>
        <v>1.1922040266148419</v>
      </c>
      <c r="ET115" s="402">
        <v>0</v>
      </c>
      <c r="EV115" s="34"/>
      <c r="EW115" s="34"/>
      <c r="EX115" s="34"/>
      <c r="EY115" s="34"/>
      <c r="EZ115" s="378"/>
      <c r="FA115" s="401"/>
      <c r="FB115" s="402"/>
      <c r="FC115" s="402"/>
    </row>
    <row r="116" spans="32:159" ht="17.25" customHeight="1">
      <c r="AP116" t="s">
        <v>13</v>
      </c>
      <c r="AQ116" t="s">
        <v>77</v>
      </c>
      <c r="AR116" s="75">
        <v>3134.9627</v>
      </c>
      <c r="AS116" s="277">
        <f t="shared" si="60"/>
        <v>0.77555789932683494</v>
      </c>
      <c r="EC116" s="412" t="s">
        <v>15</v>
      </c>
      <c r="ED116" s="412" t="s">
        <v>99</v>
      </c>
      <c r="EE116" s="412">
        <v>11977.777099999999</v>
      </c>
      <c r="EF116" s="412">
        <v>5.56294705094501E-2</v>
      </c>
      <c r="EG116" s="413">
        <v>859022</v>
      </c>
      <c r="EH116" s="414">
        <f t="shared" si="52"/>
        <v>415.94324629809626</v>
      </c>
      <c r="EI116" s="415">
        <f t="shared" si="53"/>
        <v>1.6544042541815682</v>
      </c>
      <c r="EJ116" s="402">
        <v>0</v>
      </c>
      <c r="EM116" s="278" t="s">
        <v>15</v>
      </c>
      <c r="EN116" s="278" t="s">
        <v>99</v>
      </c>
      <c r="EO116" s="278">
        <v>11977.777099999999</v>
      </c>
      <c r="EP116" s="278">
        <v>5.56294705094501E-2</v>
      </c>
      <c r="EQ116" s="289">
        <v>859022</v>
      </c>
      <c r="ER116" s="290">
        <f t="shared" si="34"/>
        <v>415.94324629809626</v>
      </c>
      <c r="ES116" s="291">
        <f t="shared" si="35"/>
        <v>1.6544042541815682</v>
      </c>
      <c r="ET116" s="402">
        <v>0</v>
      </c>
      <c r="EV116" s="34"/>
      <c r="EW116" s="34"/>
      <c r="EX116" s="34"/>
      <c r="EY116" s="34"/>
      <c r="EZ116" s="378"/>
      <c r="FA116" s="401"/>
      <c r="FB116" s="402"/>
      <c r="FC116" s="402"/>
    </row>
    <row r="117" spans="32:159" ht="17.5" thickBot="1">
      <c r="AF117" s="8">
        <v>6288</v>
      </c>
      <c r="AG117" s="8">
        <v>5368</v>
      </c>
      <c r="AH117" s="8">
        <v>6892</v>
      </c>
      <c r="AI117" s="8">
        <v>1592</v>
      </c>
      <c r="AJ117" s="8">
        <v>1224</v>
      </c>
      <c r="AK117" s="8">
        <v>4076</v>
      </c>
      <c r="AL117" s="8">
        <v>2182</v>
      </c>
      <c r="AM117" s="9">
        <v>688</v>
      </c>
      <c r="AN117" s="17">
        <v>82104</v>
      </c>
      <c r="AP117" t="s">
        <v>137</v>
      </c>
      <c r="AQ117" t="s">
        <v>78</v>
      </c>
      <c r="AR117" s="75">
        <v>5454.9395000000004</v>
      </c>
      <c r="AS117" s="277">
        <f t="shared" si="60"/>
        <v>0.43129277327301779</v>
      </c>
      <c r="EC117" s="412" t="s">
        <v>15</v>
      </c>
      <c r="ED117" s="412" t="s">
        <v>100</v>
      </c>
      <c r="EE117" s="412">
        <v>5754.1068999999998</v>
      </c>
      <c r="EF117" s="412">
        <v>2.672431766172818E-2</v>
      </c>
      <c r="EG117" s="413">
        <v>859023</v>
      </c>
      <c r="EH117" s="414">
        <f t="shared" si="52"/>
        <v>199.81853757591423</v>
      </c>
      <c r="EI117" s="415">
        <f t="shared" si="53"/>
        <v>0.7947734253942258</v>
      </c>
      <c r="EJ117" s="402">
        <v>0</v>
      </c>
      <c r="EM117" s="278" t="s">
        <v>15</v>
      </c>
      <c r="EN117" s="278" t="s">
        <v>100</v>
      </c>
      <c r="EO117" s="278">
        <v>5754.1068999999998</v>
      </c>
      <c r="EP117" s="278">
        <v>2.672431766172818E-2</v>
      </c>
      <c r="EQ117" s="289">
        <v>859023</v>
      </c>
      <c r="ER117" s="290">
        <f t="shared" si="34"/>
        <v>199.81853757591423</v>
      </c>
      <c r="ES117" s="291">
        <f t="shared" si="35"/>
        <v>0.7947734253942258</v>
      </c>
      <c r="ET117" s="402">
        <v>0</v>
      </c>
      <c r="EV117" s="34"/>
      <c r="EW117" s="34"/>
      <c r="EX117" s="34"/>
      <c r="EY117" s="34"/>
      <c r="EZ117" s="378"/>
      <c r="FA117" s="401"/>
      <c r="FB117" s="402"/>
      <c r="FC117" s="402"/>
    </row>
    <row r="118" spans="32:159" ht="18" customHeight="1" thickTop="1" thickBot="1">
      <c r="AF118" s="8">
        <v>1156</v>
      </c>
      <c r="AG118" s="8">
        <v>1380</v>
      </c>
      <c r="AH118" s="8">
        <v>18740</v>
      </c>
      <c r="AI118" s="8">
        <v>8902</v>
      </c>
      <c r="AJ118" s="8">
        <v>7994</v>
      </c>
      <c r="AK118" s="8">
        <v>1844</v>
      </c>
      <c r="AL118" s="8">
        <v>5728</v>
      </c>
      <c r="AM118" s="8">
        <v>4500</v>
      </c>
      <c r="AN118" s="17">
        <v>71140</v>
      </c>
      <c r="AP118" t="s">
        <v>14</v>
      </c>
      <c r="AQ118" t="s">
        <v>80</v>
      </c>
      <c r="AR118" s="75">
        <v>7192.9411</v>
      </c>
      <c r="AS118" s="277">
        <f t="shared" si="60"/>
        <v>0.56870722672698226</v>
      </c>
      <c r="EC118" s="412" t="s">
        <v>15</v>
      </c>
      <c r="ED118" s="412" t="s">
        <v>101</v>
      </c>
      <c r="EE118" s="412">
        <v>6005.2467999999999</v>
      </c>
      <c r="EF118" s="412">
        <v>2.7890709350616452E-2</v>
      </c>
      <c r="EG118" s="413">
        <v>859024</v>
      </c>
      <c r="EH118" s="414">
        <f t="shared" si="52"/>
        <v>208.53968377932617</v>
      </c>
      <c r="EI118" s="415">
        <f t="shared" si="53"/>
        <v>0.82946157457966474</v>
      </c>
      <c r="EJ118" s="402">
        <v>0</v>
      </c>
      <c r="EM118" s="278" t="s">
        <v>15</v>
      </c>
      <c r="EN118" s="278" t="s">
        <v>101</v>
      </c>
      <c r="EO118" s="278">
        <v>6005.2467999999999</v>
      </c>
      <c r="EP118" s="278">
        <v>2.7890709350616452E-2</v>
      </c>
      <c r="EQ118" s="289">
        <v>859024</v>
      </c>
      <c r="ER118" s="290">
        <f t="shared" si="34"/>
        <v>208.53968377932617</v>
      </c>
      <c r="ES118" s="291">
        <f t="shared" si="35"/>
        <v>0.82946157457966474</v>
      </c>
      <c r="ET118" s="402">
        <v>0</v>
      </c>
      <c r="EV118" s="34"/>
      <c r="EW118" s="34"/>
      <c r="EX118" s="34"/>
      <c r="EY118" s="34"/>
      <c r="EZ118" s="378"/>
      <c r="FA118" s="401"/>
      <c r="FB118" s="402"/>
      <c r="FC118" s="402"/>
    </row>
    <row r="119" spans="32:159" ht="18" thickTop="1" thickBot="1">
      <c r="AF119" s="8">
        <v>7444</v>
      </c>
      <c r="AG119" s="8">
        <v>6748</v>
      </c>
      <c r="AH119" s="8">
        <v>25632</v>
      </c>
      <c r="AI119" s="8">
        <v>10494</v>
      </c>
      <c r="AJ119" s="8">
        <v>9218</v>
      </c>
      <c r="AK119" s="8">
        <v>5920</v>
      </c>
      <c r="AL119" s="8">
        <v>7910</v>
      </c>
      <c r="AM119" s="8">
        <v>5188</v>
      </c>
      <c r="AN119" s="17">
        <v>153244</v>
      </c>
      <c r="AP119" t="s">
        <v>139</v>
      </c>
      <c r="AQ119" t="s">
        <v>85</v>
      </c>
      <c r="AR119" s="75">
        <v>24085.599100000003</v>
      </c>
      <c r="AS119" s="277">
        <f t="shared" si="60"/>
        <v>0.11186292027724311</v>
      </c>
      <c r="EC119" s="412" t="s">
        <v>16</v>
      </c>
      <c r="ED119" s="412" t="s">
        <v>576</v>
      </c>
      <c r="EE119" s="412">
        <v>10596.0813</v>
      </c>
      <c r="EF119" s="412">
        <v>0.3566329663552395</v>
      </c>
      <c r="EG119" s="413">
        <v>859025</v>
      </c>
      <c r="EH119" s="414">
        <f t="shared" si="52"/>
        <v>289.02163869499014</v>
      </c>
      <c r="EI119" s="415">
        <f t="shared" si="53"/>
        <v>1.1495766137884</v>
      </c>
      <c r="EJ119" s="402">
        <v>0</v>
      </c>
      <c r="EM119" s="278" t="s">
        <v>16</v>
      </c>
      <c r="EN119" s="278" t="s">
        <v>576</v>
      </c>
      <c r="EO119" s="278">
        <v>10596.0813</v>
      </c>
      <c r="EP119" s="278">
        <v>0.3566329663552395</v>
      </c>
      <c r="EQ119" s="289">
        <v>859025</v>
      </c>
      <c r="ER119" s="290">
        <f t="shared" si="34"/>
        <v>289.02163869499014</v>
      </c>
      <c r="ES119" s="291">
        <f t="shared" si="35"/>
        <v>1.1495766137884</v>
      </c>
      <c r="ET119" s="402">
        <v>0</v>
      </c>
      <c r="EV119" s="34"/>
      <c r="EW119" s="34"/>
      <c r="EX119" s="34"/>
      <c r="EY119" s="34"/>
      <c r="EZ119" s="378"/>
      <c r="FA119" s="401"/>
      <c r="FB119" s="402"/>
      <c r="FC119" s="402"/>
    </row>
    <row r="120" spans="32:159" ht="18" thickTop="1" thickBot="1">
      <c r="AF120" s="8">
        <v>6184</v>
      </c>
      <c r="AG120" s="8">
        <v>5280</v>
      </c>
      <c r="AH120" s="8">
        <v>6780</v>
      </c>
      <c r="AI120" s="8">
        <v>1566</v>
      </c>
      <c r="AJ120" s="8">
        <v>1204</v>
      </c>
      <c r="AK120" s="8">
        <v>4010</v>
      </c>
      <c r="AL120" s="8">
        <v>2146</v>
      </c>
      <c r="AM120" s="9">
        <v>676</v>
      </c>
      <c r="AN120" s="17">
        <v>80762</v>
      </c>
      <c r="AP120" t="s">
        <v>15</v>
      </c>
      <c r="AQ120" t="s">
        <v>81</v>
      </c>
      <c r="AR120" s="75">
        <v>10713.892900000001</v>
      </c>
      <c r="AS120" s="277">
        <f t="shared" si="60"/>
        <v>4.9759499124587728E-2</v>
      </c>
      <c r="EC120" s="412" t="s">
        <v>16</v>
      </c>
      <c r="ED120" s="412" t="s">
        <v>577</v>
      </c>
      <c r="EE120" s="412">
        <v>10127.7948</v>
      </c>
      <c r="EF120" s="412">
        <v>0.34087181854306553</v>
      </c>
      <c r="EG120" s="413">
        <v>859026</v>
      </c>
      <c r="EH120" s="414">
        <f t="shared" si="52"/>
        <v>276.24852684573119</v>
      </c>
      <c r="EI120" s="415">
        <f t="shared" si="53"/>
        <v>1.0987718687405472</v>
      </c>
      <c r="EJ120" s="402">
        <v>0</v>
      </c>
      <c r="EM120" s="278" t="s">
        <v>16</v>
      </c>
      <c r="EN120" s="278" t="s">
        <v>577</v>
      </c>
      <c r="EO120" s="278">
        <v>10127.7948</v>
      </c>
      <c r="EP120" s="278">
        <v>0.34087181854306553</v>
      </c>
      <c r="EQ120" s="289">
        <v>859026</v>
      </c>
      <c r="ER120" s="290">
        <f t="shared" si="34"/>
        <v>276.24852684573119</v>
      </c>
      <c r="ES120" s="291">
        <f t="shared" si="35"/>
        <v>1.0987718687405472</v>
      </c>
      <c r="ET120" s="402">
        <v>0</v>
      </c>
      <c r="EV120" s="34"/>
      <c r="EW120" s="34"/>
      <c r="EX120" s="34"/>
      <c r="EY120" s="34"/>
      <c r="EZ120" s="378"/>
      <c r="FA120" s="401"/>
      <c r="FB120" s="402"/>
      <c r="FC120" s="402"/>
    </row>
    <row r="121" spans="32:159" ht="18" thickTop="1" thickBot="1">
      <c r="AF121" s="8">
        <v>1156</v>
      </c>
      <c r="AG121" s="8">
        <v>1380</v>
      </c>
      <c r="AH121" s="8">
        <v>18732</v>
      </c>
      <c r="AI121" s="8">
        <v>8898</v>
      </c>
      <c r="AJ121" s="8">
        <v>7990</v>
      </c>
      <c r="AK121" s="8">
        <v>1844</v>
      </c>
      <c r="AL121" s="8">
        <v>5726</v>
      </c>
      <c r="AM121" s="8">
        <v>4498</v>
      </c>
      <c r="AN121" s="17">
        <v>71114</v>
      </c>
      <c r="AP121" t="s">
        <v>15</v>
      </c>
      <c r="AQ121" t="s">
        <v>82</v>
      </c>
      <c r="AR121" s="75">
        <v>10028.5581</v>
      </c>
      <c r="AS121" s="277">
        <f t="shared" si="60"/>
        <v>4.6576536899844041E-2</v>
      </c>
      <c r="EC121" s="412" t="s">
        <v>16</v>
      </c>
      <c r="ED121" s="412" t="s">
        <v>382</v>
      </c>
      <c r="EE121" s="412">
        <v>8987.5704000000005</v>
      </c>
      <c r="EF121" s="412">
        <v>0.30249521510169491</v>
      </c>
      <c r="EG121" s="413">
        <v>859027</v>
      </c>
      <c r="EH121" s="414">
        <f t="shared" si="52"/>
        <v>245.14745134076955</v>
      </c>
      <c r="EI121" s="415">
        <f t="shared" si="53"/>
        <v>0.97506808923944899</v>
      </c>
      <c r="EJ121" s="402">
        <v>0</v>
      </c>
      <c r="EM121" s="278" t="s">
        <v>16</v>
      </c>
      <c r="EN121" s="278" t="s">
        <v>382</v>
      </c>
      <c r="EO121" s="278">
        <v>8987.5704000000005</v>
      </c>
      <c r="EP121" s="278">
        <v>0.30249521510169491</v>
      </c>
      <c r="EQ121" s="289">
        <v>859027</v>
      </c>
      <c r="ER121" s="290">
        <f t="shared" si="34"/>
        <v>245.14745134076955</v>
      </c>
      <c r="ES121" s="291">
        <f t="shared" si="35"/>
        <v>0.97506808923944899</v>
      </c>
      <c r="ET121" s="402">
        <v>0</v>
      </c>
      <c r="EV121" s="34"/>
      <c r="EW121" s="34"/>
      <c r="EX121" s="34"/>
      <c r="EY121" s="34"/>
      <c r="EZ121" s="378"/>
      <c r="FA121" s="401"/>
      <c r="FB121" s="402"/>
      <c r="FC121" s="402"/>
    </row>
    <row r="122" spans="32:159" ht="18" thickTop="1" thickBot="1">
      <c r="AF122" s="11">
        <v>7340</v>
      </c>
      <c r="AG122" s="11">
        <v>6660</v>
      </c>
      <c r="AH122" s="11">
        <v>25512</v>
      </c>
      <c r="AI122" s="11">
        <v>10464</v>
      </c>
      <c r="AJ122" s="11">
        <v>9194</v>
      </c>
      <c r="AK122" s="11">
        <v>5854</v>
      </c>
      <c r="AL122" s="11">
        <v>7872</v>
      </c>
      <c r="AM122" s="11">
        <v>5174</v>
      </c>
      <c r="AN122" s="18">
        <v>151876</v>
      </c>
      <c r="AP122" t="s">
        <v>15</v>
      </c>
      <c r="AQ122" t="s">
        <v>88</v>
      </c>
      <c r="AR122" s="75">
        <v>21685.084499999997</v>
      </c>
      <c r="AS122" s="277">
        <f t="shared" si="60"/>
        <v>0.10071399380839066</v>
      </c>
      <c r="EC122" s="412" t="s">
        <v>17</v>
      </c>
      <c r="ED122" s="412" t="s">
        <v>578</v>
      </c>
      <c r="EE122" s="412">
        <v>2607.4872</v>
      </c>
      <c r="EF122" s="412">
        <v>3.7361234000204045E-2</v>
      </c>
      <c r="EG122" s="413">
        <v>859028</v>
      </c>
      <c r="EH122" s="414">
        <f t="shared" si="52"/>
        <v>25.848185357626274</v>
      </c>
      <c r="EI122" s="415">
        <f t="shared" si="53"/>
        <v>0.10281053532933961</v>
      </c>
      <c r="EJ122" s="402">
        <f t="shared" ref="EJ122" si="61">VLOOKUP($ED122,$AC$191:$AG$197,5,FALSE)</f>
        <v>7.2555516428396265</v>
      </c>
      <c r="EM122" s="278" t="s">
        <v>17</v>
      </c>
      <c r="EN122" s="278" t="s">
        <v>578</v>
      </c>
      <c r="EO122" s="278">
        <v>2607.4872</v>
      </c>
      <c r="EP122" s="278">
        <v>3.7361234000204045E-2</v>
      </c>
      <c r="EQ122" s="289">
        <v>859028</v>
      </c>
      <c r="ER122" s="290">
        <f t="shared" si="34"/>
        <v>25.848185357626274</v>
      </c>
      <c r="ES122" s="291">
        <f t="shared" si="35"/>
        <v>0.10281053532933961</v>
      </c>
      <c r="ET122" s="402">
        <f t="shared" ref="ET122" si="62">VLOOKUP($ED122,$AC$181:$AG$187,5,FALSE)</f>
        <v>7.2555516428396265</v>
      </c>
      <c r="EV122" s="34"/>
      <c r="EW122" s="34"/>
      <c r="EX122" s="34"/>
      <c r="EY122" s="34"/>
      <c r="EZ122" s="378"/>
      <c r="FA122" s="401"/>
      <c r="FB122" s="402"/>
      <c r="FC122" s="402"/>
    </row>
    <row r="123" spans="32:159" ht="17.5" thickTop="1">
      <c r="AP123" t="s">
        <v>15</v>
      </c>
      <c r="AQ123" t="s">
        <v>83</v>
      </c>
      <c r="AR123" s="75">
        <v>10018.5584</v>
      </c>
      <c r="AS123" s="277">
        <f t="shared" si="60"/>
        <v>4.6530094391220855E-2</v>
      </c>
      <c r="EC123" s="412" t="s">
        <v>17</v>
      </c>
      <c r="ED123" s="412" t="s">
        <v>103</v>
      </c>
      <c r="EE123" s="412">
        <v>15824.4439</v>
      </c>
      <c r="EF123" s="412">
        <v>0.22673965627559034</v>
      </c>
      <c r="EG123" s="413">
        <v>859029</v>
      </c>
      <c r="EH123" s="414">
        <f t="shared" si="52"/>
        <v>156.86871218718099</v>
      </c>
      <c r="EI123" s="415">
        <f t="shared" si="53"/>
        <v>0.62394152832201921</v>
      </c>
      <c r="EJ123" s="402">
        <f>VLOOKUP($ED123,$AC$191:$AG$197,5,FALSE)</f>
        <v>44.032841248719649</v>
      </c>
      <c r="EM123" s="278" t="s">
        <v>17</v>
      </c>
      <c r="EN123" s="278" t="s">
        <v>103</v>
      </c>
      <c r="EO123" s="278">
        <v>15824.4439</v>
      </c>
      <c r="EP123" s="278">
        <v>0.22673965627559034</v>
      </c>
      <c r="EQ123" s="289">
        <v>859029</v>
      </c>
      <c r="ER123" s="290">
        <f t="shared" si="34"/>
        <v>156.86871218718099</v>
      </c>
      <c r="ES123" s="291">
        <f t="shared" si="35"/>
        <v>0.62394152832201921</v>
      </c>
      <c r="ET123" s="402">
        <f>VLOOKUP($ED123,$AC$181:$AG$187,5,FALSE)</f>
        <v>44.032841248719649</v>
      </c>
      <c r="EV123" s="34"/>
      <c r="EW123" s="34"/>
      <c r="EX123" s="34"/>
      <c r="EY123" s="34"/>
      <c r="EZ123" s="378"/>
      <c r="FA123" s="401"/>
      <c r="FB123" s="402"/>
      <c r="FC123" s="402"/>
    </row>
    <row r="124" spans="32:159">
      <c r="AP124" t="s">
        <v>15</v>
      </c>
      <c r="AQ124" t="s">
        <v>84</v>
      </c>
      <c r="AR124" s="75">
        <v>5030.8546999999999</v>
      </c>
      <c r="AS124" s="277">
        <f t="shared" si="60"/>
        <v>2.3365252236241602E-2</v>
      </c>
      <c r="EC124" s="412" t="s">
        <v>17</v>
      </c>
      <c r="ED124" s="412" t="s">
        <v>104</v>
      </c>
      <c r="EE124" s="412">
        <v>11511.7454</v>
      </c>
      <c r="EF124" s="412">
        <v>0.16494539786817458</v>
      </c>
      <c r="EG124" s="413">
        <v>859030</v>
      </c>
      <c r="EH124" s="414">
        <f t="shared" si="52"/>
        <v>114.11665947545269</v>
      </c>
      <c r="EI124" s="415">
        <f t="shared" si="53"/>
        <v>0.45389626731401117</v>
      </c>
      <c r="EJ124" s="402">
        <f t="shared" ref="EJ124:EJ127" si="63">VLOOKUP($ED124,$AC$191:$AG$197,5,FALSE)</f>
        <v>32.032396265999509</v>
      </c>
      <c r="EM124" s="278" t="s">
        <v>17</v>
      </c>
      <c r="EN124" s="278" t="s">
        <v>104</v>
      </c>
      <c r="EO124" s="278">
        <v>11511.7454</v>
      </c>
      <c r="EP124" s="278">
        <v>0.16494539786817458</v>
      </c>
      <c r="EQ124" s="289">
        <v>859030</v>
      </c>
      <c r="ER124" s="290">
        <f t="shared" si="34"/>
        <v>114.11665947545269</v>
      </c>
      <c r="ES124" s="291">
        <f t="shared" si="35"/>
        <v>0.45389626731401117</v>
      </c>
      <c r="ET124" s="402">
        <f t="shared" ref="ET124:ET127" si="64">VLOOKUP($ED124,$AC$181:$AG$187,5,FALSE)</f>
        <v>32.032396265999509</v>
      </c>
      <c r="EV124" s="34"/>
      <c r="EW124" s="34"/>
      <c r="EX124" s="34"/>
      <c r="EY124" s="34"/>
      <c r="EZ124" s="378"/>
      <c r="FA124" s="401"/>
      <c r="FB124" s="402"/>
      <c r="FC124" s="402"/>
    </row>
    <row r="125" spans="32:159">
      <c r="AP125" t="s">
        <v>15</v>
      </c>
      <c r="AQ125" t="s">
        <v>89</v>
      </c>
      <c r="AR125" s="75">
        <v>6744.6391999999996</v>
      </c>
      <c r="AS125" s="277">
        <f t="shared" si="60"/>
        <v>3.132473616271262E-2</v>
      </c>
      <c r="EC125" s="412" t="s">
        <v>17</v>
      </c>
      <c r="ED125" s="412" t="s">
        <v>117</v>
      </c>
      <c r="EE125" s="412">
        <v>4659.9287999999997</v>
      </c>
      <c r="EF125" s="412">
        <v>6.6769528272694875E-2</v>
      </c>
      <c r="EG125" s="413">
        <v>859031</v>
      </c>
      <c r="EH125" s="414">
        <f t="shared" si="52"/>
        <v>46.19416861403613</v>
      </c>
      <c r="EI125" s="415">
        <f t="shared" si="53"/>
        <v>0.18373619418902881</v>
      </c>
      <c r="EJ125" s="402">
        <f t="shared" si="63"/>
        <v>12.966642390557347</v>
      </c>
      <c r="EM125" s="278" t="s">
        <v>17</v>
      </c>
      <c r="EN125" s="278" t="s">
        <v>117</v>
      </c>
      <c r="EO125" s="278">
        <v>4659.9287999999997</v>
      </c>
      <c r="EP125" s="278">
        <v>6.6769528272694875E-2</v>
      </c>
      <c r="EQ125" s="289">
        <v>859031</v>
      </c>
      <c r="ER125" s="290">
        <f t="shared" si="34"/>
        <v>46.19416861403613</v>
      </c>
      <c r="ES125" s="291">
        <f t="shared" si="35"/>
        <v>0.18373619418902881</v>
      </c>
      <c r="ET125" s="402">
        <f t="shared" si="64"/>
        <v>12.966642390557347</v>
      </c>
      <c r="EV125" s="34"/>
      <c r="EW125" s="34"/>
      <c r="EX125" s="34"/>
      <c r="EY125" s="34"/>
      <c r="EZ125" s="378"/>
      <c r="FA125" s="401"/>
      <c r="FB125" s="402"/>
      <c r="FC125" s="402"/>
    </row>
    <row r="126" spans="32:159">
      <c r="AP126" t="s">
        <v>15</v>
      </c>
      <c r="AQ126" t="s">
        <v>90</v>
      </c>
      <c r="AR126" s="75">
        <v>9730.2787000000008</v>
      </c>
      <c r="AS126" s="277">
        <f t="shared" si="60"/>
        <v>4.519121097940456E-2</v>
      </c>
      <c r="EC126" s="412" t="s">
        <v>17</v>
      </c>
      <c r="ED126" s="412" t="s">
        <v>118</v>
      </c>
      <c r="EE126" s="412">
        <v>23055.857</v>
      </c>
      <c r="EF126" s="412">
        <v>0.33035455301649896</v>
      </c>
      <c r="EG126" s="413">
        <v>859032</v>
      </c>
      <c r="EH126" s="414">
        <f t="shared" si="52"/>
        <v>228.55416713643893</v>
      </c>
      <c r="EI126" s="415">
        <f t="shared" si="53"/>
        <v>0.90906870056608591</v>
      </c>
      <c r="EJ126" s="402">
        <f t="shared" si="63"/>
        <v>64.154854195804106</v>
      </c>
      <c r="EM126" s="278" t="s">
        <v>17</v>
      </c>
      <c r="EN126" s="278" t="s">
        <v>118</v>
      </c>
      <c r="EO126" s="278">
        <v>23055.857</v>
      </c>
      <c r="EP126" s="278">
        <v>0.33035455301649896</v>
      </c>
      <c r="EQ126" s="289">
        <v>859032</v>
      </c>
      <c r="ER126" s="290">
        <f t="shared" si="34"/>
        <v>228.55416713643893</v>
      </c>
      <c r="ES126" s="291">
        <f t="shared" si="35"/>
        <v>0.90906870056608591</v>
      </c>
      <c r="ET126" s="402">
        <f t="shared" si="64"/>
        <v>64.154854195804106</v>
      </c>
      <c r="EV126" s="34"/>
      <c r="EW126" s="34"/>
      <c r="EX126" s="34"/>
      <c r="EY126" s="34"/>
      <c r="EZ126" s="378"/>
      <c r="FA126" s="401"/>
      <c r="FB126" s="402"/>
      <c r="FC126" s="402"/>
    </row>
    <row r="127" spans="32:159">
      <c r="AP127" t="s">
        <v>15</v>
      </c>
      <c r="AQ127" t="s">
        <v>91</v>
      </c>
      <c r="AR127" s="75">
        <v>11598.4503</v>
      </c>
      <c r="AS127" s="277">
        <f t="shared" si="60"/>
        <v>5.386772883919945E-2</v>
      </c>
      <c r="EC127" s="412" t="s">
        <v>17</v>
      </c>
      <c r="ED127" s="412" t="s">
        <v>119</v>
      </c>
      <c r="EE127" s="412">
        <v>12131.7871</v>
      </c>
      <c r="EF127" s="412">
        <v>0.17382963056683723</v>
      </c>
      <c r="EG127" s="413">
        <v>859033</v>
      </c>
      <c r="EH127" s="414">
        <f t="shared" si="52"/>
        <v>120.26317202249709</v>
      </c>
      <c r="EI127" s="415">
        <f t="shared" si="53"/>
        <v>0.4783438730792528</v>
      </c>
      <c r="EJ127" s="402">
        <f t="shared" si="63"/>
        <v>33.757714256079787</v>
      </c>
      <c r="EM127" s="278" t="s">
        <v>17</v>
      </c>
      <c r="EN127" s="278" t="s">
        <v>119</v>
      </c>
      <c r="EO127" s="278">
        <v>12131.7871</v>
      </c>
      <c r="EP127" s="278">
        <v>0.17382963056683723</v>
      </c>
      <c r="EQ127" s="289">
        <v>859033</v>
      </c>
      <c r="ER127" s="290">
        <f t="shared" si="34"/>
        <v>120.26317202249709</v>
      </c>
      <c r="ES127" s="291">
        <f t="shared" si="35"/>
        <v>0.4783438730792528</v>
      </c>
      <c r="ET127" s="402">
        <f t="shared" si="64"/>
        <v>33.757714256079787</v>
      </c>
      <c r="EV127" s="34"/>
      <c r="EW127" s="34"/>
      <c r="EX127" s="34"/>
      <c r="EY127" s="34"/>
      <c r="EZ127" s="378"/>
      <c r="FA127" s="401"/>
      <c r="FB127" s="402"/>
      <c r="FC127" s="402"/>
    </row>
    <row r="128" spans="32:159">
      <c r="AP128" t="s">
        <v>15</v>
      </c>
      <c r="AQ128" t="s">
        <v>92</v>
      </c>
      <c r="AR128" s="75">
        <v>20670.0766</v>
      </c>
      <c r="AS128" s="277">
        <f t="shared" si="60"/>
        <v>9.5999901070773372E-2</v>
      </c>
      <c r="EC128" s="412" t="s">
        <v>579</v>
      </c>
      <c r="ED128" s="412" t="s">
        <v>580</v>
      </c>
      <c r="EE128" s="412">
        <v>17191.4817</v>
      </c>
      <c r="EF128" s="412">
        <v>0.33368246308233862</v>
      </c>
      <c r="EG128" s="413">
        <v>859034</v>
      </c>
      <c r="EH128" s="414">
        <f t="shared" si="52"/>
        <v>296.39781072829203</v>
      </c>
      <c r="EI128" s="415">
        <f t="shared" si="53"/>
        <v>1.1789151605735162</v>
      </c>
      <c r="EJ128" s="402">
        <v>0</v>
      </c>
      <c r="EM128" s="278" t="s">
        <v>579</v>
      </c>
      <c r="EN128" s="278" t="s">
        <v>580</v>
      </c>
      <c r="EO128" s="278">
        <v>17191.4817</v>
      </c>
      <c r="EP128" s="278">
        <v>0.33368246308233862</v>
      </c>
      <c r="EQ128" s="289">
        <v>859034</v>
      </c>
      <c r="ER128" s="290">
        <f t="shared" si="34"/>
        <v>296.39781072829203</v>
      </c>
      <c r="ES128" s="291">
        <f t="shared" si="35"/>
        <v>1.1789151605735162</v>
      </c>
      <c r="ET128" s="402">
        <v>0</v>
      </c>
      <c r="EV128" s="34"/>
      <c r="EW128" s="34"/>
      <c r="EX128" s="34"/>
      <c r="EY128" s="34"/>
      <c r="EZ128" s="378"/>
      <c r="FA128" s="401"/>
      <c r="FB128" s="402"/>
      <c r="FC128" s="402"/>
    </row>
    <row r="129" spans="42:159">
      <c r="AP129" t="s">
        <v>15</v>
      </c>
      <c r="AQ129" t="s">
        <v>93</v>
      </c>
      <c r="AR129" s="75">
        <v>6590.8657999999996</v>
      </c>
      <c r="AS129" s="277">
        <f t="shared" si="60"/>
        <v>3.061055249165083E-2</v>
      </c>
      <c r="EC129" s="412" t="s">
        <v>579</v>
      </c>
      <c r="ED129" s="412" t="s">
        <v>581</v>
      </c>
      <c r="EE129" s="412">
        <v>22736.497299999999</v>
      </c>
      <c r="EF129" s="412">
        <v>0.44130986225166047</v>
      </c>
      <c r="EG129" s="413">
        <v>859035</v>
      </c>
      <c r="EH129" s="414">
        <f t="shared" si="52"/>
        <v>391.99925526778316</v>
      </c>
      <c r="EI129" s="415">
        <f t="shared" si="53"/>
        <v>1.5591676059724868</v>
      </c>
      <c r="EJ129" s="402">
        <v>0</v>
      </c>
      <c r="EM129" s="278" t="s">
        <v>579</v>
      </c>
      <c r="EN129" s="278" t="s">
        <v>581</v>
      </c>
      <c r="EO129" s="278">
        <v>22736.497299999999</v>
      </c>
      <c r="EP129" s="278">
        <v>0.44130986225166047</v>
      </c>
      <c r="EQ129" s="289">
        <v>859035</v>
      </c>
      <c r="ER129" s="290">
        <f t="shared" si="34"/>
        <v>391.99925526778316</v>
      </c>
      <c r="ES129" s="291">
        <f t="shared" si="35"/>
        <v>1.5591676059724868</v>
      </c>
      <c r="ET129" s="402">
        <v>0</v>
      </c>
      <c r="EV129" s="34"/>
      <c r="EW129" s="34"/>
      <c r="EX129" s="34"/>
      <c r="EY129" s="34"/>
      <c r="EZ129" s="378"/>
      <c r="FA129" s="401"/>
      <c r="FB129" s="402"/>
      <c r="FC129" s="402"/>
    </row>
    <row r="130" spans="42:159">
      <c r="AP130" t="s">
        <v>15</v>
      </c>
      <c r="AQ130" t="s">
        <v>94</v>
      </c>
      <c r="AR130" s="75">
        <v>3970.3760000000002</v>
      </c>
      <c r="AS130" s="277">
        <f t="shared" si="60"/>
        <v>1.843997536098985E-2</v>
      </c>
      <c r="EC130" s="412" t="s">
        <v>579</v>
      </c>
      <c r="ED130" s="412" t="s">
        <v>582</v>
      </c>
      <c r="EE130" s="412">
        <v>11592.5041</v>
      </c>
      <c r="EF130" s="412">
        <v>0.22500767466600097</v>
      </c>
      <c r="EG130" s="413">
        <v>859036</v>
      </c>
      <c r="EH130" s="414">
        <f t="shared" si="52"/>
        <v>199.86600899553349</v>
      </c>
      <c r="EI130" s="415">
        <f t="shared" si="53"/>
        <v>0.79496224182355646</v>
      </c>
      <c r="EJ130" s="402">
        <v>0</v>
      </c>
      <c r="EM130" s="278" t="s">
        <v>579</v>
      </c>
      <c r="EN130" s="278" t="s">
        <v>582</v>
      </c>
      <c r="EO130" s="278">
        <v>11592.5041</v>
      </c>
      <c r="EP130" s="278">
        <v>0.22500767466600097</v>
      </c>
      <c r="EQ130" s="289">
        <v>859036</v>
      </c>
      <c r="ER130" s="290">
        <f t="shared" si="34"/>
        <v>199.86600899553349</v>
      </c>
      <c r="ES130" s="291">
        <f t="shared" si="35"/>
        <v>0.79496224182355646</v>
      </c>
      <c r="ET130" s="402">
        <v>0</v>
      </c>
      <c r="EV130" s="34"/>
      <c r="EW130" s="34"/>
      <c r="EX130" s="34"/>
      <c r="EY130" s="34"/>
      <c r="EZ130" s="378"/>
      <c r="FA130" s="401"/>
      <c r="FB130" s="402"/>
      <c r="FC130" s="402"/>
    </row>
    <row r="131" spans="42:159">
      <c r="AP131" t="s">
        <v>15</v>
      </c>
      <c r="AQ131" t="s">
        <v>95</v>
      </c>
      <c r="AR131" s="75">
        <v>14487.1335</v>
      </c>
      <c r="AS131" s="277">
        <f t="shared" si="60"/>
        <v>6.7283900766922491E-2</v>
      </c>
      <c r="EC131" s="412" t="s">
        <v>24</v>
      </c>
      <c r="ED131" s="412" t="s">
        <v>583</v>
      </c>
      <c r="EE131" s="412">
        <v>11518.725399999999</v>
      </c>
      <c r="EF131" s="412">
        <v>0.5685947059337656</v>
      </c>
      <c r="EG131" s="413">
        <v>859037</v>
      </c>
      <c r="EH131" s="414">
        <f t="shared" si="52"/>
        <v>159.90200086218621</v>
      </c>
      <c r="EI131" s="415">
        <f t="shared" si="53"/>
        <v>0.63600636104319508</v>
      </c>
      <c r="EJ131" s="402">
        <v>0</v>
      </c>
      <c r="EM131" s="278" t="s">
        <v>24</v>
      </c>
      <c r="EN131" s="278" t="s">
        <v>583</v>
      </c>
      <c r="EO131" s="278">
        <v>11518.725399999999</v>
      </c>
      <c r="EP131" s="278">
        <v>0.5685947059337656</v>
      </c>
      <c r="EQ131" s="289">
        <v>859037</v>
      </c>
      <c r="ER131" s="290">
        <f t="shared" si="34"/>
        <v>159.90200086218621</v>
      </c>
      <c r="ES131" s="291">
        <f t="shared" si="35"/>
        <v>0.63600636104319508</v>
      </c>
      <c r="ET131" s="402">
        <v>0</v>
      </c>
      <c r="EV131" s="34"/>
      <c r="EW131" s="34"/>
      <c r="EX131" s="34"/>
      <c r="EY131" s="34"/>
      <c r="EZ131" s="378"/>
      <c r="FA131" s="401"/>
      <c r="FB131" s="402"/>
      <c r="FC131" s="402"/>
    </row>
    <row r="132" spans="42:159">
      <c r="AP132" t="s">
        <v>15</v>
      </c>
      <c r="AQ132" t="s">
        <v>96</v>
      </c>
      <c r="AR132" s="75">
        <v>7440.5132000000003</v>
      </c>
      <c r="AS132" s="277">
        <f t="shared" si="60"/>
        <v>3.4556646544589169E-2</v>
      </c>
      <c r="EC132" s="412" t="s">
        <v>24</v>
      </c>
      <c r="ED132" s="412" t="s">
        <v>584</v>
      </c>
      <c r="EE132" s="412">
        <v>8739.51</v>
      </c>
      <c r="EF132" s="412">
        <v>0.43140529406623446</v>
      </c>
      <c r="EG132" s="413">
        <v>859038</v>
      </c>
      <c r="EH132" s="414">
        <f t="shared" si="52"/>
        <v>121.32116072105383</v>
      </c>
      <c r="EI132" s="415">
        <f t="shared" si="53"/>
        <v>0.48255199767160134</v>
      </c>
      <c r="EJ132" s="402">
        <v>0</v>
      </c>
      <c r="EM132" s="278" t="s">
        <v>24</v>
      </c>
      <c r="EN132" s="278" t="s">
        <v>584</v>
      </c>
      <c r="EO132" s="278">
        <v>8739.51</v>
      </c>
      <c r="EP132" s="278">
        <v>0.43140529406623446</v>
      </c>
      <c r="EQ132" s="289">
        <v>859038</v>
      </c>
      <c r="ER132" s="290">
        <f t="shared" si="34"/>
        <v>121.32116072105383</v>
      </c>
      <c r="ES132" s="291">
        <f t="shared" si="35"/>
        <v>0.48255199767160134</v>
      </c>
      <c r="ET132" s="402">
        <v>0</v>
      </c>
      <c r="EV132" s="34"/>
      <c r="EW132" s="34"/>
      <c r="EX132" s="34"/>
      <c r="EY132" s="34"/>
      <c r="EZ132" s="378"/>
      <c r="FA132" s="401"/>
      <c r="FB132" s="402"/>
      <c r="FC132" s="402"/>
    </row>
    <row r="133" spans="42:159">
      <c r="AP133" t="s">
        <v>15</v>
      </c>
      <c r="AQ133" t="s">
        <v>97</v>
      </c>
      <c r="AR133" s="75">
        <v>20150.029900000001</v>
      </c>
      <c r="AS133" s="277">
        <f t="shared" si="60"/>
        <v>9.3584601276858623E-2</v>
      </c>
      <c r="EC133" s="412" t="s">
        <v>482</v>
      </c>
      <c r="ED133" s="412" t="s">
        <v>585</v>
      </c>
      <c r="EE133" s="412">
        <v>2599.7966999999999</v>
      </c>
      <c r="EF133" s="412">
        <v>0.17076241811950377</v>
      </c>
      <c r="EG133" s="413">
        <v>859039</v>
      </c>
      <c r="EH133" s="414">
        <f t="shared" si="52"/>
        <v>15.141784971117419</v>
      </c>
      <c r="EI133" s="415">
        <f t="shared" si="53"/>
        <v>6.0226085397636256E-2</v>
      </c>
      <c r="EJ133" s="402">
        <v>0</v>
      </c>
      <c r="EM133" s="278" t="s">
        <v>482</v>
      </c>
      <c r="EN133" s="278" t="s">
        <v>585</v>
      </c>
      <c r="EO133" s="278">
        <v>2599.7966999999999</v>
      </c>
      <c r="EP133" s="278">
        <v>0.17076241811950377</v>
      </c>
      <c r="EQ133" s="289">
        <v>859039</v>
      </c>
      <c r="ER133" s="290">
        <f t="shared" si="34"/>
        <v>15.141784971117419</v>
      </c>
      <c r="ES133" s="291">
        <f t="shared" si="35"/>
        <v>6.0226085397636256E-2</v>
      </c>
      <c r="ET133" s="402">
        <v>0</v>
      </c>
      <c r="EV133" s="34"/>
      <c r="EW133" s="34"/>
      <c r="EX133" s="34"/>
      <c r="EY133" s="34"/>
      <c r="EZ133" s="378"/>
      <c r="FA133" s="401"/>
      <c r="FB133" s="402"/>
      <c r="FC133" s="402"/>
    </row>
    <row r="134" spans="42:159">
      <c r="AP134" t="s">
        <v>15</v>
      </c>
      <c r="AQ134" t="s">
        <v>98</v>
      </c>
      <c r="AR134" s="75">
        <v>8631.4781000000003</v>
      </c>
      <c r="AS134" s="277">
        <f t="shared" si="60"/>
        <v>4.0087952247576428E-2</v>
      </c>
      <c r="EC134" s="412" t="s">
        <v>482</v>
      </c>
      <c r="ED134" s="412" t="s">
        <v>393</v>
      </c>
      <c r="EE134" s="412">
        <v>1032.4983</v>
      </c>
      <c r="EF134" s="412">
        <v>6.7817574509682552E-2</v>
      </c>
      <c r="EG134" s="413">
        <v>859040</v>
      </c>
      <c r="EH134" s="414">
        <f t="shared" si="52"/>
        <v>6.0134960713059922</v>
      </c>
      <c r="EI134" s="415">
        <f t="shared" si="53"/>
        <v>2.3918535933488281E-2</v>
      </c>
      <c r="EJ134" s="402">
        <v>0</v>
      </c>
      <c r="EM134" s="278" t="s">
        <v>482</v>
      </c>
      <c r="EN134" s="278" t="s">
        <v>393</v>
      </c>
      <c r="EO134" s="278">
        <v>1032.4983</v>
      </c>
      <c r="EP134" s="278">
        <v>6.7817574509682552E-2</v>
      </c>
      <c r="EQ134" s="289">
        <v>859040</v>
      </c>
      <c r="ER134" s="290">
        <f t="shared" si="34"/>
        <v>6.0134960713059922</v>
      </c>
      <c r="ES134" s="291">
        <f t="shared" si="35"/>
        <v>2.3918535933488281E-2</v>
      </c>
      <c r="ET134" s="402">
        <v>0</v>
      </c>
      <c r="EV134" s="34"/>
      <c r="EW134" s="34"/>
      <c r="EX134" s="34"/>
      <c r="EY134" s="34"/>
      <c r="EZ134" s="378"/>
      <c r="FA134" s="401"/>
      <c r="FB134" s="402"/>
      <c r="FC134" s="402"/>
    </row>
    <row r="135" spans="42:159">
      <c r="AP135" t="s">
        <v>15</v>
      </c>
      <c r="AQ135" t="s">
        <v>99</v>
      </c>
      <c r="AR135" s="75">
        <v>11977.777099999999</v>
      </c>
      <c r="AS135" s="277">
        <f t="shared" si="60"/>
        <v>5.56294705094501E-2</v>
      </c>
      <c r="EC135" s="412" t="s">
        <v>482</v>
      </c>
      <c r="ED135" s="412" t="s">
        <v>130</v>
      </c>
      <c r="EE135" s="412">
        <v>1625.5998999999999</v>
      </c>
      <c r="EF135" s="412">
        <v>0.10677426039460067</v>
      </c>
      <c r="EG135" s="413">
        <v>859041</v>
      </c>
      <c r="EH135" s="414">
        <f t="shared" si="52"/>
        <v>9.4678495956510691</v>
      </c>
      <c r="EI135" s="415">
        <f t="shared" si="53"/>
        <v>3.7658143961713991E-2</v>
      </c>
      <c r="EJ135" s="402">
        <v>0</v>
      </c>
      <c r="EM135" s="278" t="s">
        <v>482</v>
      </c>
      <c r="EN135" s="278" t="s">
        <v>130</v>
      </c>
      <c r="EO135" s="278">
        <v>1625.5998999999999</v>
      </c>
      <c r="EP135" s="278">
        <v>0.10677426039460067</v>
      </c>
      <c r="EQ135" s="289">
        <v>859041</v>
      </c>
      <c r="ER135" s="290">
        <f t="shared" si="34"/>
        <v>9.4678495956510691</v>
      </c>
      <c r="ES135" s="291">
        <f t="shared" si="35"/>
        <v>3.7658143961713991E-2</v>
      </c>
      <c r="ET135" s="402">
        <v>0</v>
      </c>
      <c r="EV135" s="34"/>
      <c r="EW135" s="34"/>
      <c r="EX135" s="34"/>
      <c r="EY135" s="34"/>
      <c r="EZ135" s="378"/>
      <c r="FA135" s="401"/>
      <c r="FB135" s="402"/>
      <c r="FC135" s="402"/>
    </row>
    <row r="136" spans="42:159">
      <c r="AP136" t="s">
        <v>15</v>
      </c>
      <c r="AQ136" t="s">
        <v>100</v>
      </c>
      <c r="AR136" s="75">
        <v>5754.1068999999998</v>
      </c>
      <c r="AS136" s="277">
        <f t="shared" si="60"/>
        <v>2.672431766172818E-2</v>
      </c>
      <c r="EC136" s="412" t="s">
        <v>482</v>
      </c>
      <c r="ED136" s="412" t="s">
        <v>131</v>
      </c>
      <c r="EE136" s="412">
        <v>2880.0880999999999</v>
      </c>
      <c r="EF136" s="412">
        <v>0.18917279507017112</v>
      </c>
      <c r="EG136" s="413">
        <v>859042</v>
      </c>
      <c r="EH136" s="414">
        <f t="shared" si="52"/>
        <v>16.774263429165103</v>
      </c>
      <c r="EI136" s="415">
        <f t="shared" si="53"/>
        <v>6.6719229185618997E-2</v>
      </c>
      <c r="EJ136" s="402">
        <v>0</v>
      </c>
      <c r="EM136" s="278" t="s">
        <v>482</v>
      </c>
      <c r="EN136" s="278" t="s">
        <v>131</v>
      </c>
      <c r="EO136" s="278">
        <v>2880.0880999999999</v>
      </c>
      <c r="EP136" s="278">
        <v>0.18917279507017112</v>
      </c>
      <c r="EQ136" s="289">
        <v>859042</v>
      </c>
      <c r="ER136" s="290">
        <f t="shared" si="34"/>
        <v>16.774263429165103</v>
      </c>
      <c r="ES136" s="291">
        <f t="shared" si="35"/>
        <v>6.6719229185618997E-2</v>
      </c>
      <c r="ET136" s="402">
        <v>0</v>
      </c>
      <c r="EV136" s="34"/>
      <c r="EW136" s="34"/>
      <c r="EX136" s="34"/>
      <c r="EY136" s="34"/>
      <c r="EZ136" s="378"/>
      <c r="FA136" s="401"/>
      <c r="FB136" s="402"/>
      <c r="FC136" s="402"/>
    </row>
    <row r="137" spans="42:159">
      <c r="AP137" t="s">
        <v>15</v>
      </c>
      <c r="AQ137" t="s">
        <v>101</v>
      </c>
      <c r="AR137" s="75">
        <v>6005.2467999999999</v>
      </c>
      <c r="AS137" s="277">
        <f t="shared" si="60"/>
        <v>2.7890709350616452E-2</v>
      </c>
      <c r="EC137" s="412" t="s">
        <v>482</v>
      </c>
      <c r="ED137" s="412" t="s">
        <v>132</v>
      </c>
      <c r="EE137" s="412">
        <v>687.99680000000001</v>
      </c>
      <c r="EF137" s="412">
        <v>4.5189686265268592E-2</v>
      </c>
      <c r="EG137" s="413">
        <v>859043</v>
      </c>
      <c r="EH137" s="414">
        <f t="shared" si="52"/>
        <v>4.0070439378651717</v>
      </c>
      <c r="EI137" s="415">
        <f t="shared" si="53"/>
        <v>1.5937920849772781E-2</v>
      </c>
      <c r="EJ137" s="402">
        <v>0</v>
      </c>
      <c r="EM137" s="278" t="s">
        <v>482</v>
      </c>
      <c r="EN137" s="278" t="s">
        <v>132</v>
      </c>
      <c r="EO137" s="278">
        <v>687.99680000000001</v>
      </c>
      <c r="EP137" s="278">
        <v>4.5189686265268592E-2</v>
      </c>
      <c r="EQ137" s="289">
        <v>859043</v>
      </c>
      <c r="ER137" s="290">
        <f t="shared" si="34"/>
        <v>4.0070439378651717</v>
      </c>
      <c r="ES137" s="291">
        <f t="shared" si="35"/>
        <v>1.5937920849772781E-2</v>
      </c>
      <c r="ET137" s="402">
        <v>0</v>
      </c>
      <c r="EV137" s="34"/>
      <c r="EW137" s="34"/>
      <c r="EX137" s="34"/>
      <c r="EY137" s="34"/>
      <c r="EZ137" s="378"/>
      <c r="FA137" s="401"/>
      <c r="FB137" s="402"/>
      <c r="FC137" s="402"/>
    </row>
    <row r="138" spans="42:159">
      <c r="AP138" t="s">
        <v>16</v>
      </c>
      <c r="AQ138" t="s">
        <v>113</v>
      </c>
      <c r="AR138" s="75">
        <v>10596.0813</v>
      </c>
      <c r="AS138" s="277">
        <f t="shared" si="60"/>
        <v>0.3566329663552395</v>
      </c>
      <c r="EC138" s="412" t="s">
        <v>482</v>
      </c>
      <c r="ED138" s="412" t="s">
        <v>133</v>
      </c>
      <c r="EE138" s="412">
        <v>2308.0711000000001</v>
      </c>
      <c r="EF138" s="412">
        <v>0.15160100873569959</v>
      </c>
      <c r="EG138" s="413">
        <v>859044</v>
      </c>
      <c r="EH138" s="414">
        <f t="shared" si="52"/>
        <v>13.442711229785948</v>
      </c>
      <c r="EI138" s="415">
        <f t="shared" si="53"/>
        <v>5.3468060472734752E-2</v>
      </c>
      <c r="EJ138" s="402">
        <v>0</v>
      </c>
      <c r="EM138" s="278" t="s">
        <v>482</v>
      </c>
      <c r="EN138" s="278" t="s">
        <v>133</v>
      </c>
      <c r="EO138" s="278">
        <v>2308.0711000000001</v>
      </c>
      <c r="EP138" s="278">
        <v>0.15160100873569959</v>
      </c>
      <c r="EQ138" s="289">
        <v>859044</v>
      </c>
      <c r="ER138" s="290">
        <f t="shared" si="34"/>
        <v>13.442711229785948</v>
      </c>
      <c r="ES138" s="291">
        <f t="shared" si="35"/>
        <v>5.3468060472734752E-2</v>
      </c>
      <c r="ET138" s="402">
        <v>0</v>
      </c>
      <c r="EV138" s="34"/>
      <c r="EW138" s="34"/>
      <c r="EX138" s="34"/>
      <c r="EY138" s="34"/>
      <c r="EZ138" s="378"/>
      <c r="FA138" s="401"/>
      <c r="FB138" s="402"/>
      <c r="FC138" s="402"/>
    </row>
    <row r="139" spans="42:159" ht="17.5" thickBot="1">
      <c r="AP139" t="s">
        <v>16</v>
      </c>
      <c r="AQ139" t="s">
        <v>114</v>
      </c>
      <c r="AR139" s="75">
        <v>10127.7948</v>
      </c>
      <c r="AS139" s="277">
        <f t="shared" si="60"/>
        <v>0.34087181854306553</v>
      </c>
      <c r="EC139" s="412" t="s">
        <v>482</v>
      </c>
      <c r="ED139" s="412" t="s">
        <v>134</v>
      </c>
      <c r="EE139" s="412">
        <v>4090.5911999999998</v>
      </c>
      <c r="EF139" s="412">
        <v>0.26868225690507364</v>
      </c>
      <c r="EG139" s="416">
        <v>859045</v>
      </c>
      <c r="EH139" s="414">
        <f t="shared" si="52"/>
        <v>23.824498413720256</v>
      </c>
      <c r="EI139" s="415">
        <f t="shared" si="53"/>
        <v>9.4761369201683862E-2</v>
      </c>
      <c r="EJ139" s="402">
        <v>0</v>
      </c>
      <c r="EM139" s="278" t="s">
        <v>482</v>
      </c>
      <c r="EN139" s="278" t="s">
        <v>134</v>
      </c>
      <c r="EO139" s="278">
        <v>4090.5911999999998</v>
      </c>
      <c r="EP139" s="278">
        <v>0.26868225690507364</v>
      </c>
      <c r="EQ139" s="292">
        <v>859045</v>
      </c>
      <c r="ER139" s="290">
        <f t="shared" si="34"/>
        <v>23.824498413720256</v>
      </c>
      <c r="ES139" s="291">
        <f t="shared" si="35"/>
        <v>9.4761369201683862E-2</v>
      </c>
      <c r="ET139" s="402">
        <v>0</v>
      </c>
      <c r="EV139" s="34"/>
      <c r="EW139" s="34"/>
      <c r="EX139" s="34"/>
      <c r="EY139" s="34"/>
      <c r="EZ139" s="378"/>
      <c r="FA139" s="401"/>
      <c r="FB139" s="402"/>
      <c r="FC139" s="402"/>
    </row>
    <row r="140" spans="42:159">
      <c r="AP140" t="s">
        <v>16</v>
      </c>
      <c r="AQ140" t="s">
        <v>115</v>
      </c>
      <c r="AR140" s="75">
        <v>8987.5704000000005</v>
      </c>
      <c r="AS140" s="277">
        <f t="shared" si="60"/>
        <v>0.30249521510169491</v>
      </c>
      <c r="EG140" s="230">
        <f>ABS(SUM(EQ95:EQ139))</f>
        <v>38656035</v>
      </c>
      <c r="EH140" s="230">
        <f>SUM(EH95:EH139)</f>
        <v>10581.826974624353</v>
      </c>
      <c r="EI140" s="230">
        <f>SUM(EI95:EI139)</f>
        <v>42.088962183281232</v>
      </c>
      <c r="EJ140" s="230">
        <f>SUM(EJ95:EJ139)</f>
        <v>194.20000000000005</v>
      </c>
      <c r="EQ140" s="230"/>
      <c r="ER140" s="230">
        <f>SUM(ER95:ER139)</f>
        <v>10581.826974624353</v>
      </c>
      <c r="ES140" s="230">
        <f>SUM(ES95:ES139)</f>
        <v>42.088962183281232</v>
      </c>
      <c r="ET140" s="230">
        <f>SUM(ET95:ET139)</f>
        <v>194.20000000000005</v>
      </c>
      <c r="FA140" s="230"/>
      <c r="FB140" s="230"/>
    </row>
    <row r="141" spans="42:159">
      <c r="AP141" t="s">
        <v>141</v>
      </c>
      <c r="AQ141" t="s">
        <v>102</v>
      </c>
      <c r="AR141" s="75">
        <v>2607.4872</v>
      </c>
      <c r="AS141" s="277">
        <f t="shared" si="60"/>
        <v>3.7361234000204045E-2</v>
      </c>
      <c r="EH141" s="230"/>
      <c r="EI141" s="230"/>
    </row>
    <row r="142" spans="42:159">
      <c r="AP142" t="s">
        <v>141</v>
      </c>
      <c r="AQ142" t="s">
        <v>103</v>
      </c>
      <c r="AR142" s="75">
        <v>15824.4439</v>
      </c>
      <c r="AS142" s="277">
        <f t="shared" si="60"/>
        <v>0.22673965627559034</v>
      </c>
      <c r="EH142" s="230" t="s">
        <v>604</v>
      </c>
    </row>
    <row r="143" spans="42:159">
      <c r="AP143" t="s">
        <v>141</v>
      </c>
      <c r="AQ143" t="s">
        <v>104</v>
      </c>
      <c r="AR143" s="75">
        <v>11511.7454</v>
      </c>
      <c r="AS143" s="277">
        <f t="shared" si="60"/>
        <v>0.16494539786817458</v>
      </c>
    </row>
    <row r="144" spans="42:159">
      <c r="AP144" t="s">
        <v>141</v>
      </c>
      <c r="AQ144" t="s">
        <v>117</v>
      </c>
      <c r="AR144" s="75">
        <v>4659.9287999999997</v>
      </c>
      <c r="AS144" s="277">
        <f t="shared" si="60"/>
        <v>6.6769528272694875E-2</v>
      </c>
    </row>
    <row r="145" spans="42:45">
      <c r="AP145" t="s">
        <v>141</v>
      </c>
      <c r="AQ145" t="s">
        <v>118</v>
      </c>
      <c r="AR145" s="75">
        <v>23055.857</v>
      </c>
      <c r="AS145" s="277">
        <f t="shared" si="60"/>
        <v>0.33035455301649896</v>
      </c>
    </row>
    <row r="146" spans="42:45">
      <c r="AP146" t="s">
        <v>141</v>
      </c>
      <c r="AQ146" t="s">
        <v>119</v>
      </c>
      <c r="AR146" s="75">
        <v>12131.7871</v>
      </c>
      <c r="AS146" s="277">
        <f t="shared" si="60"/>
        <v>0.17382963056683723</v>
      </c>
    </row>
    <row r="147" spans="42:45">
      <c r="AP147" t="s">
        <v>143</v>
      </c>
      <c r="AQ147" t="s">
        <v>105</v>
      </c>
      <c r="AR147" s="75">
        <v>17191.4817</v>
      </c>
      <c r="AS147" s="277">
        <f t="shared" si="60"/>
        <v>0.33368246308233862</v>
      </c>
    </row>
    <row r="148" spans="42:45">
      <c r="AP148" t="s">
        <v>143</v>
      </c>
      <c r="AQ148" t="s">
        <v>106</v>
      </c>
      <c r="AR148" s="75">
        <v>22736.497299999999</v>
      </c>
      <c r="AS148" s="277">
        <f t="shared" si="60"/>
        <v>0.44130986225166047</v>
      </c>
    </row>
    <row r="149" spans="42:45">
      <c r="AP149" t="s">
        <v>143</v>
      </c>
      <c r="AQ149" t="s">
        <v>123</v>
      </c>
      <c r="AR149" s="75">
        <v>11592.5041</v>
      </c>
      <c r="AS149" s="277">
        <f t="shared" si="60"/>
        <v>0.22500767466600097</v>
      </c>
    </row>
    <row r="150" spans="42:45">
      <c r="AP150" t="s">
        <v>144</v>
      </c>
      <c r="AQ150" t="s">
        <v>125</v>
      </c>
      <c r="AR150" s="75">
        <v>11518.725399999999</v>
      </c>
      <c r="AS150" s="277">
        <f t="shared" si="60"/>
        <v>0.5685947059337656</v>
      </c>
    </row>
    <row r="151" spans="42:45">
      <c r="AP151" t="s">
        <v>24</v>
      </c>
      <c r="AQ151" t="s">
        <v>126</v>
      </c>
      <c r="AR151" s="75">
        <v>8739.51</v>
      </c>
      <c r="AS151" s="277">
        <f t="shared" si="60"/>
        <v>0.43140529406623446</v>
      </c>
    </row>
    <row r="152" spans="42:45">
      <c r="AP152" t="s">
        <v>146</v>
      </c>
      <c r="AQ152" t="s">
        <v>127</v>
      </c>
      <c r="AR152" s="75">
        <v>2599.7966999999999</v>
      </c>
      <c r="AS152" s="277">
        <f t="shared" si="60"/>
        <v>0.17076241811950377</v>
      </c>
    </row>
    <row r="153" spans="42:45">
      <c r="AP153" t="s">
        <v>146</v>
      </c>
      <c r="AQ153" t="s">
        <v>128</v>
      </c>
      <c r="AR153" s="75">
        <v>1032.4983</v>
      </c>
      <c r="AS153" s="277">
        <f t="shared" si="60"/>
        <v>6.7817574509682552E-2</v>
      </c>
    </row>
    <row r="154" spans="42:45">
      <c r="AP154" t="s">
        <v>146</v>
      </c>
      <c r="AQ154" t="s">
        <v>130</v>
      </c>
      <c r="AR154" s="75">
        <v>1625.5998999999999</v>
      </c>
      <c r="AS154" s="277">
        <f t="shared" si="60"/>
        <v>0.10677426039460067</v>
      </c>
    </row>
    <row r="155" spans="42:45">
      <c r="AP155" t="s">
        <v>146</v>
      </c>
      <c r="AQ155" t="s">
        <v>131</v>
      </c>
      <c r="AR155" s="75">
        <v>2880.0880999999999</v>
      </c>
      <c r="AS155" s="277">
        <f t="shared" si="60"/>
        <v>0.18917279507017112</v>
      </c>
    </row>
    <row r="156" spans="42:45">
      <c r="AP156" t="s">
        <v>146</v>
      </c>
      <c r="AQ156" t="s">
        <v>132</v>
      </c>
      <c r="AR156" s="75">
        <v>687.99680000000001</v>
      </c>
      <c r="AS156" s="277">
        <f t="shared" si="60"/>
        <v>4.5189686265268592E-2</v>
      </c>
    </row>
    <row r="157" spans="42:45">
      <c r="AP157" t="s">
        <v>146</v>
      </c>
      <c r="AQ157" t="s">
        <v>133</v>
      </c>
      <c r="AR157" s="75">
        <v>2308.0711000000001</v>
      </c>
      <c r="AS157" s="277">
        <f t="shared" si="60"/>
        <v>0.15160100873569959</v>
      </c>
    </row>
    <row r="158" spans="42:45">
      <c r="AP158" t="s">
        <v>146</v>
      </c>
      <c r="AQ158" t="s">
        <v>134</v>
      </c>
      <c r="AR158" s="75">
        <v>4090.5911999999998</v>
      </c>
      <c r="AS158" s="277">
        <f t="shared" si="60"/>
        <v>0.26868225690507364</v>
      </c>
    </row>
    <row r="159" spans="42:45">
      <c r="AS159" s="277"/>
    </row>
    <row r="160" spans="42:45">
      <c r="AS160" s="277"/>
    </row>
    <row r="161" spans="1:48">
      <c r="AS161" s="277"/>
    </row>
    <row r="162" spans="1:48">
      <c r="AS162" s="277"/>
    </row>
    <row r="163" spans="1:48">
      <c r="AS163" s="277"/>
    </row>
    <row r="164" spans="1:48" ht="20.5">
      <c r="E164" s="364" t="s">
        <v>827</v>
      </c>
      <c r="AS164" s="277"/>
    </row>
    <row r="165" spans="1:48">
      <c r="C165" t="s">
        <v>776</v>
      </c>
      <c r="E165" s="98"/>
      <c r="F165" s="98"/>
      <c r="G165" s="98" t="s">
        <v>765</v>
      </c>
      <c r="H165" s="306" t="s">
        <v>766</v>
      </c>
      <c r="I165" s="363" t="s">
        <v>767</v>
      </c>
      <c r="J165" s="98" t="s">
        <v>768</v>
      </c>
      <c r="K165" s="98" t="s">
        <v>769</v>
      </c>
      <c r="L165" s="98" t="s">
        <v>783</v>
      </c>
      <c r="M165" s="98" t="s">
        <v>784</v>
      </c>
      <c r="N165" s="98" t="s">
        <v>785</v>
      </c>
      <c r="O165" s="98" t="s">
        <v>786</v>
      </c>
      <c r="P165" s="98" t="s">
        <v>787</v>
      </c>
      <c r="Q165" s="98" t="s">
        <v>788</v>
      </c>
      <c r="R165" s="98" t="s">
        <v>789</v>
      </c>
      <c r="S165" s="98" t="s">
        <v>790</v>
      </c>
      <c r="T165" s="98" t="s">
        <v>791</v>
      </c>
      <c r="U165" s="98" t="s">
        <v>792</v>
      </c>
      <c r="V165" s="98" t="s">
        <v>793</v>
      </c>
      <c r="W165" s="98" t="s">
        <v>794</v>
      </c>
      <c r="X165" s="98" t="s">
        <v>795</v>
      </c>
      <c r="Y165" s="98" t="s">
        <v>796</v>
      </c>
      <c r="Z165" s="98" t="s">
        <v>797</v>
      </c>
      <c r="AA165" s="98" t="s">
        <v>798</v>
      </c>
      <c r="AB165" s="98" t="s">
        <v>799</v>
      </c>
      <c r="AC165" s="98" t="s">
        <v>800</v>
      </c>
      <c r="AD165" s="98" t="s">
        <v>801</v>
      </c>
      <c r="AE165" s="98" t="s">
        <v>802</v>
      </c>
      <c r="AF165" s="98" t="s">
        <v>803</v>
      </c>
      <c r="AG165" s="98" t="s">
        <v>804</v>
      </c>
      <c r="AH165" s="98" t="s">
        <v>805</v>
      </c>
      <c r="AI165" s="98" t="s">
        <v>806</v>
      </c>
      <c r="AJ165" s="98" t="s">
        <v>807</v>
      </c>
      <c r="AK165" s="98" t="s">
        <v>808</v>
      </c>
      <c r="AL165" s="98" t="s">
        <v>809</v>
      </c>
      <c r="AM165" s="98" t="s">
        <v>810</v>
      </c>
      <c r="AN165" s="98" t="s">
        <v>811</v>
      </c>
      <c r="AO165" s="98" t="s">
        <v>812</v>
      </c>
      <c r="AP165" s="98" t="s">
        <v>813</v>
      </c>
      <c r="AQ165" s="98" t="s">
        <v>814</v>
      </c>
      <c r="AR165" s="98" t="s">
        <v>815</v>
      </c>
      <c r="AS165" s="98" t="s">
        <v>816</v>
      </c>
      <c r="AT165" s="98" t="s">
        <v>817</v>
      </c>
      <c r="AU165" s="98" t="s">
        <v>818</v>
      </c>
    </row>
    <row r="166" spans="1:48">
      <c r="C166">
        <v>2024</v>
      </c>
      <c r="E166" s="98"/>
      <c r="F166" s="98"/>
      <c r="G166" s="369">
        <v>0</v>
      </c>
      <c r="H166" s="370">
        <v>1</v>
      </c>
      <c r="I166" s="371">
        <v>2</v>
      </c>
      <c r="J166" s="369">
        <v>3</v>
      </c>
      <c r="K166" s="369">
        <v>4</v>
      </c>
      <c r="L166" s="369">
        <v>5</v>
      </c>
      <c r="M166" s="369">
        <v>6</v>
      </c>
      <c r="N166" s="369">
        <v>7</v>
      </c>
      <c r="O166" s="369">
        <v>8</v>
      </c>
      <c r="P166" s="369">
        <v>9</v>
      </c>
      <c r="Q166" s="369">
        <v>10</v>
      </c>
      <c r="R166" s="369">
        <v>11</v>
      </c>
      <c r="S166" s="369">
        <v>12</v>
      </c>
      <c r="T166" s="369">
        <v>13</v>
      </c>
      <c r="U166" s="369">
        <v>14</v>
      </c>
      <c r="V166" s="369">
        <v>15</v>
      </c>
      <c r="W166" s="369">
        <v>16</v>
      </c>
      <c r="X166" s="369">
        <v>17</v>
      </c>
      <c r="Y166" s="369">
        <v>18</v>
      </c>
      <c r="Z166" s="369">
        <v>19</v>
      </c>
      <c r="AA166" s="369">
        <v>20</v>
      </c>
      <c r="AB166" s="369">
        <v>21</v>
      </c>
      <c r="AC166" s="369">
        <v>22</v>
      </c>
      <c r="AD166" s="369">
        <v>23</v>
      </c>
      <c r="AE166" s="369">
        <v>24</v>
      </c>
      <c r="AF166" s="369">
        <v>25</v>
      </c>
      <c r="AG166" s="369">
        <v>26</v>
      </c>
      <c r="AH166" s="369">
        <v>27</v>
      </c>
      <c r="AI166" s="369">
        <v>28</v>
      </c>
      <c r="AJ166" s="369">
        <v>29</v>
      </c>
      <c r="AK166" s="369">
        <v>30</v>
      </c>
      <c r="AL166" s="369">
        <v>31</v>
      </c>
      <c r="AM166" s="369">
        <v>32</v>
      </c>
      <c r="AN166" s="369">
        <v>33</v>
      </c>
      <c r="AO166" s="369">
        <v>34</v>
      </c>
      <c r="AP166" s="369">
        <v>35</v>
      </c>
      <c r="AQ166" s="369">
        <v>36</v>
      </c>
      <c r="AR166" s="369">
        <v>37</v>
      </c>
      <c r="AS166" s="369">
        <v>38</v>
      </c>
      <c r="AT166" s="369">
        <v>39</v>
      </c>
      <c r="AU166" s="369">
        <v>40</v>
      </c>
    </row>
    <row r="167" spans="1:48">
      <c r="E167" s="98" t="s">
        <v>770</v>
      </c>
      <c r="F167" s="98"/>
      <c r="G167" s="365">
        <v>0</v>
      </c>
      <c r="H167" s="366">
        <v>0.1</v>
      </c>
      <c r="I167" s="372">
        <v>0.16669999999999999</v>
      </c>
      <c r="J167" s="365">
        <v>0.23330000000000001</v>
      </c>
      <c r="K167" s="365">
        <v>0.3</v>
      </c>
      <c r="L167" s="365">
        <v>0.36670000000000003</v>
      </c>
      <c r="M167" s="365">
        <v>0.43330000000000002</v>
      </c>
      <c r="N167" s="365">
        <v>0.5</v>
      </c>
      <c r="O167" s="365">
        <v>0.56669999999999998</v>
      </c>
      <c r="P167" s="365">
        <v>0.63329999999999997</v>
      </c>
      <c r="Q167" s="365">
        <v>0.7</v>
      </c>
      <c r="R167" s="365">
        <v>0.72</v>
      </c>
      <c r="S167" s="365">
        <v>0.74</v>
      </c>
      <c r="T167" s="365">
        <v>0.76</v>
      </c>
      <c r="U167" s="365">
        <v>0.78</v>
      </c>
      <c r="V167" s="365">
        <v>0.8</v>
      </c>
      <c r="W167" s="365">
        <v>0.82</v>
      </c>
      <c r="X167" s="365">
        <v>0.84</v>
      </c>
      <c r="Y167" s="365">
        <v>0.86</v>
      </c>
      <c r="Z167" s="365">
        <v>0.88</v>
      </c>
      <c r="AA167" s="365">
        <v>0.9</v>
      </c>
      <c r="AB167" s="365">
        <v>0.89500000000000002</v>
      </c>
      <c r="AC167" s="365">
        <v>0.89</v>
      </c>
      <c r="AD167" s="365">
        <v>0.88500000000000001</v>
      </c>
      <c r="AE167" s="365">
        <v>0.88</v>
      </c>
      <c r="AF167" s="365">
        <v>0.875</v>
      </c>
      <c r="AG167" s="365">
        <v>0.87</v>
      </c>
      <c r="AH167" s="365">
        <v>0.86499999999999999</v>
      </c>
      <c r="AI167" s="365">
        <v>0.86</v>
      </c>
      <c r="AJ167" s="365">
        <v>0.85499999999999998</v>
      </c>
      <c r="AK167" s="365">
        <v>0.85</v>
      </c>
      <c r="AL167" s="381">
        <f>$AK$167*(1+$AV$167*1)</f>
        <v>0.85212499999999991</v>
      </c>
      <c r="AM167" s="381">
        <f>$AK$167*(1+$AV$167*2)</f>
        <v>0.85424999999999984</v>
      </c>
      <c r="AN167" s="381">
        <f>$AK$167*(1+$AV$167*3)</f>
        <v>0.856375</v>
      </c>
      <c r="AO167" s="381">
        <f>$AK$167*(1+$AV$167*4)</f>
        <v>0.85849999999999993</v>
      </c>
      <c r="AP167" s="381">
        <f>$AK$167*(1+$AV$167*5)</f>
        <v>0.86062499999999997</v>
      </c>
      <c r="AQ167" s="381">
        <f>$AK$167*(1+$AV$167*6)</f>
        <v>0.86275000000000013</v>
      </c>
      <c r="AR167" s="381">
        <f>$AK$167*(1+$AV$167*7)</f>
        <v>0.86487500000000006</v>
      </c>
      <c r="AS167" s="381">
        <f>$AK$167*(1+$AV$167*8)</f>
        <v>0.86699999999999999</v>
      </c>
      <c r="AT167" s="381">
        <f>$AK$167*(1+$AV$167*9)</f>
        <v>0.86912499999999993</v>
      </c>
      <c r="AU167" s="365">
        <v>0.875</v>
      </c>
      <c r="AV167" s="355">
        <f>(AU167-AK167)/10</f>
        <v>2.5000000000000022E-3</v>
      </c>
    </row>
    <row r="169" spans="1:48">
      <c r="S169" t="s">
        <v>763</v>
      </c>
    </row>
    <row r="170" spans="1:48" ht="17.5" thickBot="1">
      <c r="S170" s="362" t="s">
        <v>762</v>
      </c>
    </row>
    <row r="171" spans="1:48" ht="25.5" thickTop="1">
      <c r="A171" t="s">
        <v>747</v>
      </c>
      <c r="S171" s="573" t="s">
        <v>749</v>
      </c>
      <c r="T171" s="574"/>
      <c r="U171" s="1" t="s">
        <v>750</v>
      </c>
      <c r="V171" s="1" t="s">
        <v>752</v>
      </c>
      <c r="W171" s="1" t="s">
        <v>754</v>
      </c>
      <c r="X171" s="610" t="s">
        <v>755</v>
      </c>
    </row>
    <row r="172" spans="1:48" ht="17.5" thickBot="1">
      <c r="S172" s="577"/>
      <c r="T172" s="578"/>
      <c r="U172" s="3" t="s">
        <v>751</v>
      </c>
      <c r="V172" s="3" t="s">
        <v>753</v>
      </c>
      <c r="W172" s="3" t="s">
        <v>753</v>
      </c>
      <c r="X172" s="611"/>
    </row>
    <row r="173" spans="1:48" ht="17.5" thickTop="1">
      <c r="S173" s="354" t="s">
        <v>50</v>
      </c>
      <c r="T173" s="6" t="s">
        <v>756</v>
      </c>
      <c r="U173" s="6">
        <v>1</v>
      </c>
      <c r="V173" s="356">
        <v>0.5</v>
      </c>
      <c r="W173" s="356">
        <v>0.5</v>
      </c>
      <c r="X173" s="357">
        <v>0.38</v>
      </c>
    </row>
    <row r="174" spans="1:48" ht="28.5">
      <c r="S174" s="602" t="s">
        <v>757</v>
      </c>
      <c r="T174" s="358" t="s">
        <v>758</v>
      </c>
      <c r="U174" s="612">
        <v>4.5</v>
      </c>
      <c r="V174" s="614">
        <v>0.5</v>
      </c>
      <c r="W174" s="614">
        <v>0.5</v>
      </c>
      <c r="X174" s="616">
        <v>0.20799999999999999</v>
      </c>
    </row>
    <row r="175" spans="1:48">
      <c r="S175" s="601"/>
      <c r="T175" s="359" t="s">
        <v>759</v>
      </c>
      <c r="U175" s="613"/>
      <c r="V175" s="615"/>
      <c r="W175" s="615"/>
      <c r="X175" s="617"/>
    </row>
    <row r="176" spans="1:48" ht="54" thickBot="1">
      <c r="A176" s="26" t="s">
        <v>48</v>
      </c>
      <c r="S176" s="24" t="s">
        <v>52</v>
      </c>
      <c r="T176" s="16" t="s">
        <v>760</v>
      </c>
      <c r="U176" s="16">
        <v>8</v>
      </c>
      <c r="V176" s="360">
        <v>0.5</v>
      </c>
      <c r="W176" s="360">
        <v>0.5</v>
      </c>
      <c r="X176" s="361">
        <v>0.41199999999999998</v>
      </c>
    </row>
    <row r="177" spans="2:36" ht="21.5" thickTop="1" thickBot="1">
      <c r="B177" s="25" t="s">
        <v>69</v>
      </c>
      <c r="K177" t="s">
        <v>748</v>
      </c>
      <c r="S177" s="362" t="s">
        <v>761</v>
      </c>
    </row>
    <row r="178" spans="2:36" ht="17.5" thickTop="1">
      <c r="B178" s="606" t="s">
        <v>49</v>
      </c>
      <c r="C178" s="608" t="s">
        <v>50</v>
      </c>
      <c r="D178" s="609"/>
      <c r="E178" s="608" t="s">
        <v>51</v>
      </c>
      <c r="F178" s="609"/>
      <c r="G178" s="608" t="s">
        <v>52</v>
      </c>
      <c r="H178" s="609"/>
      <c r="I178" s="608" t="s">
        <v>53</v>
      </c>
      <c r="J178" s="628"/>
      <c r="K178" s="629"/>
    </row>
    <row r="179" spans="2:36" ht="30.5" thickBot="1">
      <c r="B179" s="607"/>
      <c r="C179" s="27" t="s">
        <v>40</v>
      </c>
      <c r="D179" s="27" t="s">
        <v>41</v>
      </c>
      <c r="E179" s="27" t="s">
        <v>40</v>
      </c>
      <c r="F179" s="27" t="s">
        <v>41</v>
      </c>
      <c r="G179" s="27" t="s">
        <v>40</v>
      </c>
      <c r="H179" s="27" t="s">
        <v>41</v>
      </c>
      <c r="I179" s="27" t="s">
        <v>40</v>
      </c>
      <c r="J179" s="27" t="s">
        <v>41</v>
      </c>
      <c r="K179" s="28" t="s">
        <v>21</v>
      </c>
      <c r="L179" s="28" t="s">
        <v>21</v>
      </c>
      <c r="P179" s="397">
        <v>2025</v>
      </c>
      <c r="Q179" s="395"/>
      <c r="R179" s="395"/>
      <c r="S179" s="395"/>
      <c r="T179" s="395"/>
      <c r="U179" s="395"/>
      <c r="V179" s="395"/>
      <c r="W179" s="395"/>
      <c r="X179" s="395"/>
      <c r="Y179" s="395"/>
      <c r="Z179" s="395"/>
      <c r="AA179" s="395"/>
      <c r="AB179" s="395"/>
      <c r="AC179" s="395"/>
      <c r="AD179" s="395"/>
      <c r="AE179" s="395"/>
      <c r="AF179" s="395"/>
      <c r="AG179" s="395"/>
      <c r="AH179" s="395"/>
      <c r="AI179" s="395"/>
      <c r="AJ179" s="395"/>
    </row>
    <row r="180" spans="2:36" ht="24" thickTop="1" thickBot="1">
      <c r="B180" s="22" t="s">
        <v>54</v>
      </c>
      <c r="C180" s="6">
        <v>15</v>
      </c>
      <c r="D180" s="6">
        <v>15</v>
      </c>
      <c r="E180" s="6">
        <v>8</v>
      </c>
      <c r="F180" s="6">
        <v>8</v>
      </c>
      <c r="G180" s="6">
        <v>16</v>
      </c>
      <c r="H180" s="6">
        <v>16</v>
      </c>
      <c r="I180" s="6">
        <v>39</v>
      </c>
      <c r="J180" s="6">
        <v>39</v>
      </c>
      <c r="K180" s="7">
        <v>78</v>
      </c>
      <c r="L180" s="7">
        <v>78</v>
      </c>
      <c r="Q180" s="353" t="s">
        <v>823</v>
      </c>
      <c r="AB180" s="353" t="s">
        <v>825</v>
      </c>
    </row>
    <row r="181" spans="2:36" ht="32">
      <c r="B181" s="23" t="s">
        <v>55</v>
      </c>
      <c r="C181" s="9">
        <v>17</v>
      </c>
      <c r="D181" s="9">
        <v>17</v>
      </c>
      <c r="E181" s="9">
        <v>9</v>
      </c>
      <c r="F181" s="9">
        <v>9</v>
      </c>
      <c r="G181" s="9">
        <v>18</v>
      </c>
      <c r="H181" s="9">
        <v>18</v>
      </c>
      <c r="I181" s="9">
        <v>44</v>
      </c>
      <c r="J181" s="9">
        <v>44</v>
      </c>
      <c r="K181" s="10">
        <v>88</v>
      </c>
      <c r="L181" s="10">
        <v>88</v>
      </c>
      <c r="S181" s="306" t="s">
        <v>565</v>
      </c>
      <c r="T181" s="306" t="s">
        <v>566</v>
      </c>
      <c r="U181" s="306" t="s">
        <v>567</v>
      </c>
      <c r="V181" s="383" t="s">
        <v>563</v>
      </c>
      <c r="W181" s="385" t="s">
        <v>598</v>
      </c>
      <c r="X181" s="386" t="s">
        <v>822</v>
      </c>
      <c r="AB181" s="101" t="s">
        <v>565</v>
      </c>
      <c r="AC181" s="101" t="s">
        <v>566</v>
      </c>
      <c r="AD181" s="101" t="s">
        <v>567</v>
      </c>
      <c r="AE181" s="389" t="s">
        <v>563</v>
      </c>
      <c r="AF181" s="390" t="s">
        <v>598</v>
      </c>
      <c r="AG181" s="391" t="s">
        <v>822</v>
      </c>
    </row>
    <row r="182" spans="2:36" ht="32">
      <c r="B182" s="23" t="s">
        <v>56</v>
      </c>
      <c r="C182" s="9">
        <v>17</v>
      </c>
      <c r="D182" s="9">
        <v>17</v>
      </c>
      <c r="E182" s="9">
        <v>9</v>
      </c>
      <c r="F182" s="9">
        <v>9</v>
      </c>
      <c r="G182" s="9">
        <v>18</v>
      </c>
      <c r="H182" s="9">
        <v>18</v>
      </c>
      <c r="I182" s="9">
        <v>44</v>
      </c>
      <c r="J182" s="9">
        <v>44</v>
      </c>
      <c r="K182" s="10">
        <v>88</v>
      </c>
      <c r="L182" s="10">
        <v>88</v>
      </c>
      <c r="S182" s="306" t="s">
        <v>141</v>
      </c>
      <c r="T182" s="306" t="s">
        <v>819</v>
      </c>
      <c r="U182" s="306">
        <v>2607.4872</v>
      </c>
      <c r="V182" s="384">
        <v>3.7361234000204045E-2</v>
      </c>
      <c r="W182" s="387">
        <v>859028</v>
      </c>
      <c r="X182" s="398">
        <f>$J$196*V182</f>
        <v>72.55551642839626</v>
      </c>
      <c r="AB182" s="101" t="s">
        <v>141</v>
      </c>
      <c r="AC182" s="101" t="s">
        <v>819</v>
      </c>
      <c r="AD182" s="101">
        <v>2607.4872</v>
      </c>
      <c r="AE182" s="392">
        <v>3.7361234000204045E-2</v>
      </c>
      <c r="AF182" s="393">
        <v>859028</v>
      </c>
      <c r="AG182" s="398">
        <f>X182*$H$167</f>
        <v>7.2555516428396265</v>
      </c>
    </row>
    <row r="183" spans="2:36" ht="32">
      <c r="B183" s="23" t="s">
        <v>57</v>
      </c>
      <c r="C183" s="9">
        <v>60</v>
      </c>
      <c r="D183" s="9">
        <v>60</v>
      </c>
      <c r="E183" s="9">
        <v>33</v>
      </c>
      <c r="F183" s="9">
        <v>33</v>
      </c>
      <c r="G183" s="9">
        <v>65</v>
      </c>
      <c r="H183" s="9">
        <v>65</v>
      </c>
      <c r="I183" s="9">
        <v>158</v>
      </c>
      <c r="J183" s="9">
        <v>158</v>
      </c>
      <c r="K183" s="10">
        <v>316</v>
      </c>
      <c r="L183" s="10">
        <v>316</v>
      </c>
      <c r="S183" s="306" t="s">
        <v>820</v>
      </c>
      <c r="T183" s="306" t="s">
        <v>103</v>
      </c>
      <c r="U183" s="306">
        <v>15824.4439</v>
      </c>
      <c r="V183" s="384">
        <v>0.22673965627559034</v>
      </c>
      <c r="W183" s="387">
        <v>859029</v>
      </c>
      <c r="X183" s="398">
        <f t="shared" ref="X183:X187" si="65">$J$196*V183</f>
        <v>440.32841248719643</v>
      </c>
      <c r="AB183" s="101" t="s">
        <v>820</v>
      </c>
      <c r="AC183" s="101" t="s">
        <v>103</v>
      </c>
      <c r="AD183" s="101">
        <v>15824.4439</v>
      </c>
      <c r="AE183" s="392">
        <v>0.22673965627559034</v>
      </c>
      <c r="AF183" s="393">
        <v>859029</v>
      </c>
      <c r="AG183" s="398">
        <f t="shared" ref="AG183:AG187" si="66">X183*$H$167</f>
        <v>44.032841248719649</v>
      </c>
    </row>
    <row r="184" spans="2:36" ht="32">
      <c r="B184" s="23" t="s">
        <v>58</v>
      </c>
      <c r="C184" s="9">
        <v>103</v>
      </c>
      <c r="D184" s="9">
        <v>103</v>
      </c>
      <c r="E184" s="9">
        <v>56</v>
      </c>
      <c r="F184" s="9">
        <v>56</v>
      </c>
      <c r="G184" s="9">
        <v>112</v>
      </c>
      <c r="H184" s="9">
        <v>112</v>
      </c>
      <c r="I184" s="9">
        <v>271</v>
      </c>
      <c r="J184" s="9">
        <v>271</v>
      </c>
      <c r="K184" s="10">
        <v>542</v>
      </c>
      <c r="L184" s="10">
        <v>542</v>
      </c>
      <c r="S184" s="306" t="s">
        <v>820</v>
      </c>
      <c r="T184" s="306" t="s">
        <v>104</v>
      </c>
      <c r="U184" s="306">
        <v>11511.7454</v>
      </c>
      <c r="V184" s="384">
        <v>0.16494539786817458</v>
      </c>
      <c r="W184" s="387">
        <v>859030</v>
      </c>
      <c r="X184" s="398">
        <f t="shared" si="65"/>
        <v>320.32396265999506</v>
      </c>
      <c r="AB184" s="101" t="s">
        <v>820</v>
      </c>
      <c r="AC184" s="101" t="s">
        <v>104</v>
      </c>
      <c r="AD184" s="101">
        <v>11511.7454</v>
      </c>
      <c r="AE184" s="392">
        <v>0.16494539786817458</v>
      </c>
      <c r="AF184" s="393">
        <v>859030</v>
      </c>
      <c r="AG184" s="398">
        <f t="shared" si="66"/>
        <v>32.032396265999509</v>
      </c>
    </row>
    <row r="185" spans="2:36" ht="32">
      <c r="B185" s="23" t="s">
        <v>59</v>
      </c>
      <c r="C185" s="9">
        <v>94</v>
      </c>
      <c r="D185" s="9">
        <v>94</v>
      </c>
      <c r="E185" s="9">
        <v>52</v>
      </c>
      <c r="F185" s="9">
        <v>52</v>
      </c>
      <c r="G185" s="9">
        <v>103</v>
      </c>
      <c r="H185" s="9">
        <v>103</v>
      </c>
      <c r="I185" s="9">
        <v>249</v>
      </c>
      <c r="J185" s="9">
        <v>249</v>
      </c>
      <c r="K185" s="10">
        <v>498</v>
      </c>
      <c r="L185" s="10">
        <v>498</v>
      </c>
      <c r="S185" s="306" t="s">
        <v>820</v>
      </c>
      <c r="T185" s="306" t="s">
        <v>117</v>
      </c>
      <c r="U185" s="306">
        <v>4659.9287999999997</v>
      </c>
      <c r="V185" s="384">
        <v>6.6769528272694875E-2</v>
      </c>
      <c r="W185" s="387">
        <v>859031</v>
      </c>
      <c r="X185" s="398">
        <f t="shared" si="65"/>
        <v>129.66642390557345</v>
      </c>
      <c r="AB185" s="101" t="s">
        <v>820</v>
      </c>
      <c r="AC185" s="101" t="s">
        <v>117</v>
      </c>
      <c r="AD185" s="101">
        <v>4659.9287999999997</v>
      </c>
      <c r="AE185" s="392">
        <v>6.6769528272694875E-2</v>
      </c>
      <c r="AF185" s="393">
        <v>859031</v>
      </c>
      <c r="AG185" s="398">
        <f t="shared" si="66"/>
        <v>12.966642390557347</v>
      </c>
    </row>
    <row r="186" spans="2:36" ht="32">
      <c r="B186" s="23" t="s">
        <v>60</v>
      </c>
      <c r="C186" s="9">
        <v>26</v>
      </c>
      <c r="D186" s="9">
        <v>26</v>
      </c>
      <c r="E186" s="9">
        <v>14</v>
      </c>
      <c r="F186" s="9">
        <v>14</v>
      </c>
      <c r="G186" s="9">
        <v>28</v>
      </c>
      <c r="H186" s="9">
        <v>28</v>
      </c>
      <c r="I186" s="9">
        <v>68</v>
      </c>
      <c r="J186" s="9">
        <v>68</v>
      </c>
      <c r="K186" s="10">
        <v>136</v>
      </c>
      <c r="L186" s="10">
        <v>136</v>
      </c>
      <c r="S186" s="306" t="s">
        <v>820</v>
      </c>
      <c r="T186" s="306" t="s">
        <v>118</v>
      </c>
      <c r="U186" s="306">
        <v>23055.857</v>
      </c>
      <c r="V186" s="384">
        <v>0.33035455301649896</v>
      </c>
      <c r="W186" s="387">
        <v>859032</v>
      </c>
      <c r="X186" s="398">
        <f t="shared" si="65"/>
        <v>641.54854195804103</v>
      </c>
      <c r="AB186" s="101" t="s">
        <v>820</v>
      </c>
      <c r="AC186" s="101" t="s">
        <v>118</v>
      </c>
      <c r="AD186" s="101">
        <v>23055.857</v>
      </c>
      <c r="AE186" s="392">
        <v>0.33035455301649896</v>
      </c>
      <c r="AF186" s="393">
        <v>859032</v>
      </c>
      <c r="AG186" s="398">
        <f t="shared" si="66"/>
        <v>64.154854195804106</v>
      </c>
    </row>
    <row r="187" spans="2:36" ht="32.5" thickBot="1">
      <c r="B187" s="23" t="s">
        <v>61</v>
      </c>
      <c r="C187" s="9">
        <v>69</v>
      </c>
      <c r="D187" s="9">
        <v>69</v>
      </c>
      <c r="E187" s="9">
        <v>38</v>
      </c>
      <c r="F187" s="9">
        <v>38</v>
      </c>
      <c r="G187" s="9">
        <v>74</v>
      </c>
      <c r="H187" s="9">
        <v>74</v>
      </c>
      <c r="I187" s="9">
        <v>181</v>
      </c>
      <c r="J187" s="9">
        <v>181</v>
      </c>
      <c r="K187" s="10">
        <v>362</v>
      </c>
      <c r="L187" s="10">
        <v>362</v>
      </c>
      <c r="S187" s="306" t="s">
        <v>820</v>
      </c>
      <c r="T187" s="306" t="s">
        <v>119</v>
      </c>
      <c r="U187" s="306">
        <v>12131.7871</v>
      </c>
      <c r="V187" s="384">
        <v>0.17382963056683723</v>
      </c>
      <c r="W187" s="388">
        <v>859033</v>
      </c>
      <c r="X187" s="399">
        <f t="shared" si="65"/>
        <v>337.57714256079788</v>
      </c>
      <c r="AB187" s="101" t="s">
        <v>820</v>
      </c>
      <c r="AC187" s="101" t="s">
        <v>119</v>
      </c>
      <c r="AD187" s="101">
        <v>12131.7871</v>
      </c>
      <c r="AE187" s="392">
        <v>0.17382963056683723</v>
      </c>
      <c r="AF187" s="394">
        <v>859033</v>
      </c>
      <c r="AG187" s="399">
        <f t="shared" si="66"/>
        <v>33.757714256079787</v>
      </c>
    </row>
    <row r="188" spans="2:36" ht="32">
      <c r="B188" s="23" t="s">
        <v>62</v>
      </c>
      <c r="C188" s="9">
        <v>60</v>
      </c>
      <c r="D188" s="9">
        <v>60</v>
      </c>
      <c r="E188" s="9">
        <v>33</v>
      </c>
      <c r="F188" s="9">
        <v>33</v>
      </c>
      <c r="G188" s="9">
        <v>65</v>
      </c>
      <c r="H188" s="9">
        <v>65</v>
      </c>
      <c r="I188" s="9">
        <v>158</v>
      </c>
      <c r="J188" s="9">
        <v>158</v>
      </c>
      <c r="K188" s="10">
        <v>316</v>
      </c>
      <c r="L188" s="10">
        <v>316</v>
      </c>
      <c r="U188" s="382">
        <f>SUM(U182:U187)</f>
        <v>69791.249400000001</v>
      </c>
      <c r="V188" s="382">
        <f>SUM(V182:V187)</f>
        <v>1</v>
      </c>
      <c r="X188">
        <f>SUM(X182:X187)</f>
        <v>1942.0000000000002</v>
      </c>
      <c r="AG188">
        <f>SUM(AG182:AG187)</f>
        <v>194.20000000000005</v>
      </c>
    </row>
    <row r="189" spans="2:36" ht="32">
      <c r="B189" s="23" t="s">
        <v>63</v>
      </c>
      <c r="C189" s="9">
        <v>69</v>
      </c>
      <c r="D189" s="9">
        <v>69</v>
      </c>
      <c r="E189" s="9">
        <v>38</v>
      </c>
      <c r="F189" s="9">
        <v>38</v>
      </c>
      <c r="G189" s="9">
        <v>74</v>
      </c>
      <c r="H189" s="9">
        <v>74</v>
      </c>
      <c r="I189" s="9">
        <v>181</v>
      </c>
      <c r="J189" s="9">
        <v>181</v>
      </c>
      <c r="K189" s="10">
        <v>362</v>
      </c>
      <c r="L189" s="10">
        <v>362</v>
      </c>
      <c r="P189" s="396">
        <v>2025</v>
      </c>
      <c r="Q189" s="395"/>
      <c r="R189" s="395"/>
      <c r="S189" s="395"/>
      <c r="T189" s="395"/>
      <c r="U189" s="395"/>
      <c r="V189" s="395"/>
      <c r="W189" s="395"/>
      <c r="X189" s="395"/>
      <c r="Y189" s="395"/>
      <c r="Z189" s="395"/>
      <c r="AA189" s="395"/>
      <c r="AB189" s="395"/>
      <c r="AC189" s="395"/>
      <c r="AD189" s="395"/>
      <c r="AE189" s="395"/>
      <c r="AF189" s="395"/>
      <c r="AG189" s="395"/>
      <c r="AH189" s="395"/>
      <c r="AI189" s="395"/>
      <c r="AJ189" s="395"/>
    </row>
    <row r="190" spans="2:36" ht="32.5" thickBot="1">
      <c r="B190" s="23" t="s">
        <v>64</v>
      </c>
      <c r="C190" s="9">
        <v>77</v>
      </c>
      <c r="D190" s="9">
        <v>77</v>
      </c>
      <c r="E190" s="9">
        <v>42</v>
      </c>
      <c r="F190" s="9">
        <v>42</v>
      </c>
      <c r="G190" s="9">
        <v>84</v>
      </c>
      <c r="H190" s="9">
        <v>84</v>
      </c>
      <c r="I190" s="9">
        <v>203</v>
      </c>
      <c r="J190" s="9">
        <v>203</v>
      </c>
      <c r="K190" s="10">
        <v>406</v>
      </c>
      <c r="L190" s="10">
        <v>406</v>
      </c>
      <c r="Q190" s="353" t="s">
        <v>824</v>
      </c>
    </row>
    <row r="191" spans="2:36" ht="32">
      <c r="B191" s="23" t="s">
        <v>65</v>
      </c>
      <c r="C191" s="9">
        <v>77</v>
      </c>
      <c r="D191" s="9">
        <v>77</v>
      </c>
      <c r="E191" s="9">
        <v>42</v>
      </c>
      <c r="F191" s="9">
        <v>42</v>
      </c>
      <c r="G191" s="9">
        <v>84</v>
      </c>
      <c r="H191" s="9">
        <v>84</v>
      </c>
      <c r="I191" s="9">
        <v>203</v>
      </c>
      <c r="J191" s="9">
        <v>203</v>
      </c>
      <c r="K191" s="10">
        <v>406</v>
      </c>
      <c r="L191" s="10">
        <v>406</v>
      </c>
      <c r="S191" s="306" t="s">
        <v>565</v>
      </c>
      <c r="T191" s="306" t="s">
        <v>566</v>
      </c>
      <c r="U191" s="306" t="s">
        <v>567</v>
      </c>
      <c r="V191" s="383" t="s">
        <v>563</v>
      </c>
      <c r="W191" s="385" t="s">
        <v>598</v>
      </c>
      <c r="X191" s="386" t="s">
        <v>822</v>
      </c>
      <c r="AB191" s="101" t="s">
        <v>565</v>
      </c>
      <c r="AC191" s="101" t="s">
        <v>566</v>
      </c>
      <c r="AD191" s="101" t="s">
        <v>567</v>
      </c>
      <c r="AE191" s="389" t="s">
        <v>563</v>
      </c>
      <c r="AF191" s="390" t="s">
        <v>598</v>
      </c>
      <c r="AG191" s="391" t="s">
        <v>822</v>
      </c>
    </row>
    <row r="192" spans="2:36" ht="32">
      <c r="B192" s="23" t="s">
        <v>66</v>
      </c>
      <c r="C192" s="9">
        <v>43</v>
      </c>
      <c r="D192" s="9">
        <v>43</v>
      </c>
      <c r="E192" s="9">
        <v>24</v>
      </c>
      <c r="F192" s="9">
        <v>24</v>
      </c>
      <c r="G192" s="9">
        <v>47</v>
      </c>
      <c r="H192" s="9">
        <v>47</v>
      </c>
      <c r="I192" s="9">
        <v>114</v>
      </c>
      <c r="J192" s="9">
        <v>114</v>
      </c>
      <c r="K192" s="10">
        <v>228</v>
      </c>
      <c r="L192" s="10">
        <v>228</v>
      </c>
      <c r="S192" s="306" t="s">
        <v>141</v>
      </c>
      <c r="T192" s="306" t="s">
        <v>819</v>
      </c>
      <c r="U192" s="306">
        <v>2607.4872</v>
      </c>
      <c r="V192" s="384">
        <v>3.7361234000204045E-2</v>
      </c>
      <c r="W192" s="387">
        <v>859028</v>
      </c>
      <c r="X192" s="398">
        <f>$I$196*V192</f>
        <v>72.55551642839626</v>
      </c>
      <c r="AB192" s="101" t="s">
        <v>141</v>
      </c>
      <c r="AC192" s="101" t="s">
        <v>819</v>
      </c>
      <c r="AD192" s="101">
        <v>2607.4872</v>
      </c>
      <c r="AE192" s="392">
        <v>3.7361234000204045E-2</v>
      </c>
      <c r="AF192" s="393">
        <v>859028</v>
      </c>
      <c r="AG192" s="398">
        <f>X192*$H$167</f>
        <v>7.2555516428396265</v>
      </c>
    </row>
    <row r="193" spans="2:33" ht="32">
      <c r="B193" s="23" t="s">
        <v>67</v>
      </c>
      <c r="C193" s="9">
        <v>9</v>
      </c>
      <c r="D193" s="9">
        <v>9</v>
      </c>
      <c r="E193" s="9">
        <v>5</v>
      </c>
      <c r="F193" s="9">
        <v>5</v>
      </c>
      <c r="G193" s="9">
        <v>10</v>
      </c>
      <c r="H193" s="9">
        <v>10</v>
      </c>
      <c r="I193" s="9">
        <v>24</v>
      </c>
      <c r="J193" s="9">
        <v>24</v>
      </c>
      <c r="K193" s="10">
        <v>48</v>
      </c>
      <c r="L193" s="10">
        <v>48</v>
      </c>
      <c r="S193" s="306" t="s">
        <v>820</v>
      </c>
      <c r="T193" s="306" t="s">
        <v>103</v>
      </c>
      <c r="U193" s="306">
        <v>15824.4439</v>
      </c>
      <c r="V193" s="384">
        <v>0.22673965627559034</v>
      </c>
      <c r="W193" s="387">
        <v>859029</v>
      </c>
      <c r="X193" s="398">
        <f t="shared" ref="X193:X197" si="67">$I$196*V193</f>
        <v>440.32841248719643</v>
      </c>
      <c r="AB193" s="101" t="s">
        <v>820</v>
      </c>
      <c r="AC193" s="101" t="s">
        <v>103</v>
      </c>
      <c r="AD193" s="101">
        <v>15824.4439</v>
      </c>
      <c r="AE193" s="392">
        <v>0.22673965627559034</v>
      </c>
      <c r="AF193" s="393">
        <v>859029</v>
      </c>
      <c r="AG193" s="398">
        <f t="shared" ref="AG193:AG197" si="68">X193*$H$167</f>
        <v>44.032841248719649</v>
      </c>
    </row>
    <row r="194" spans="2:33" ht="32">
      <c r="B194" s="23" t="s">
        <v>68</v>
      </c>
      <c r="C194" s="9">
        <v>1</v>
      </c>
      <c r="D194" s="9">
        <v>1</v>
      </c>
      <c r="E194" s="9">
        <v>1</v>
      </c>
      <c r="F194" s="9">
        <v>1</v>
      </c>
      <c r="G194" s="9">
        <v>1</v>
      </c>
      <c r="H194" s="9">
        <v>1</v>
      </c>
      <c r="I194" s="9">
        <v>3</v>
      </c>
      <c r="J194" s="9">
        <v>3</v>
      </c>
      <c r="K194" s="10">
        <v>6</v>
      </c>
      <c r="L194" s="10">
        <v>6</v>
      </c>
      <c r="S194" s="306" t="s">
        <v>820</v>
      </c>
      <c r="T194" s="306" t="s">
        <v>104</v>
      </c>
      <c r="U194" s="306">
        <v>11511.7454</v>
      </c>
      <c r="V194" s="384">
        <v>0.16494539786817458</v>
      </c>
      <c r="W194" s="387">
        <v>859030</v>
      </c>
      <c r="X194" s="398">
        <f t="shared" si="67"/>
        <v>320.32396265999506</v>
      </c>
      <c r="AB194" s="101" t="s">
        <v>820</v>
      </c>
      <c r="AC194" s="101" t="s">
        <v>104</v>
      </c>
      <c r="AD194" s="101">
        <v>11511.7454</v>
      </c>
      <c r="AE194" s="392">
        <v>0.16494539786817458</v>
      </c>
      <c r="AF194" s="393">
        <v>859030</v>
      </c>
      <c r="AG194" s="398">
        <f t="shared" si="68"/>
        <v>32.032396265999509</v>
      </c>
    </row>
    <row r="195" spans="2:33">
      <c r="B195" s="23" t="s">
        <v>42</v>
      </c>
      <c r="C195" s="9">
        <v>1</v>
      </c>
      <c r="D195" s="9">
        <v>1</v>
      </c>
      <c r="E195" s="9">
        <v>0</v>
      </c>
      <c r="F195" s="9">
        <v>0</v>
      </c>
      <c r="G195" s="9">
        <v>1</v>
      </c>
      <c r="H195" s="9">
        <v>1</v>
      </c>
      <c r="I195" s="9">
        <v>2</v>
      </c>
      <c r="J195" s="9">
        <v>2</v>
      </c>
      <c r="K195" s="10">
        <v>4</v>
      </c>
      <c r="L195" s="10">
        <v>4</v>
      </c>
      <c r="S195" s="306" t="s">
        <v>820</v>
      </c>
      <c r="T195" s="306" t="s">
        <v>117</v>
      </c>
      <c r="U195" s="306">
        <v>4659.9287999999997</v>
      </c>
      <c r="V195" s="384">
        <v>6.6769528272694875E-2</v>
      </c>
      <c r="W195" s="387">
        <v>859031</v>
      </c>
      <c r="X195" s="398">
        <f t="shared" si="67"/>
        <v>129.66642390557345</v>
      </c>
      <c r="AB195" s="101" t="s">
        <v>820</v>
      </c>
      <c r="AC195" s="101" t="s">
        <v>117</v>
      </c>
      <c r="AD195" s="101">
        <v>4659.9287999999997</v>
      </c>
      <c r="AE195" s="392">
        <v>6.6769528272694875E-2</v>
      </c>
      <c r="AF195" s="393">
        <v>859031</v>
      </c>
      <c r="AG195" s="398">
        <f t="shared" si="68"/>
        <v>12.966642390557347</v>
      </c>
    </row>
    <row r="196" spans="2:33" ht="17.5" thickBot="1">
      <c r="B196" s="24" t="s">
        <v>11</v>
      </c>
      <c r="C196" s="16">
        <v>738</v>
      </c>
      <c r="D196" s="16">
        <v>738</v>
      </c>
      <c r="E196" s="16">
        <v>404</v>
      </c>
      <c r="F196" s="16">
        <v>404</v>
      </c>
      <c r="G196" s="16">
        <v>800</v>
      </c>
      <c r="H196" s="16">
        <v>800</v>
      </c>
      <c r="I196" s="379">
        <v>1942</v>
      </c>
      <c r="J196" s="379">
        <v>1942</v>
      </c>
      <c r="K196" s="380">
        <v>3884</v>
      </c>
      <c r="L196" s="380">
        <v>3884</v>
      </c>
      <c r="S196" s="306" t="s">
        <v>820</v>
      </c>
      <c r="T196" s="306" t="s">
        <v>118</v>
      </c>
      <c r="U196" s="306">
        <v>23055.857</v>
      </c>
      <c r="V196" s="384">
        <v>0.33035455301649896</v>
      </c>
      <c r="W196" s="387">
        <v>859032</v>
      </c>
      <c r="X196" s="398">
        <f t="shared" si="67"/>
        <v>641.54854195804103</v>
      </c>
      <c r="AB196" s="101" t="s">
        <v>820</v>
      </c>
      <c r="AC196" s="101" t="s">
        <v>118</v>
      </c>
      <c r="AD196" s="101">
        <v>23055.857</v>
      </c>
      <c r="AE196" s="392">
        <v>0.33035455301649896</v>
      </c>
      <c r="AF196" s="393">
        <v>859032</v>
      </c>
      <c r="AG196" s="398">
        <f t="shared" si="68"/>
        <v>64.154854195804106</v>
      </c>
    </row>
    <row r="197" spans="2:33" ht="18" thickTop="1" thickBot="1">
      <c r="S197" s="306" t="s">
        <v>820</v>
      </c>
      <c r="T197" s="306" t="s">
        <v>119</v>
      </c>
      <c r="U197" s="306">
        <v>12131.7871</v>
      </c>
      <c r="V197" s="384">
        <v>0.17382963056683723</v>
      </c>
      <c r="W197" s="388">
        <v>859033</v>
      </c>
      <c r="X197" s="399">
        <f t="shared" si="67"/>
        <v>337.57714256079788</v>
      </c>
      <c r="AB197" s="101" t="s">
        <v>820</v>
      </c>
      <c r="AC197" s="101" t="s">
        <v>119</v>
      </c>
      <c r="AD197" s="101">
        <v>12131.7871</v>
      </c>
      <c r="AE197" s="392">
        <v>0.17382963056683723</v>
      </c>
      <c r="AF197" s="394">
        <v>859033</v>
      </c>
      <c r="AG197" s="399">
        <f t="shared" si="68"/>
        <v>33.757714256079787</v>
      </c>
    </row>
    <row r="198" spans="2:33">
      <c r="X198">
        <f>SUM(X192:X197)</f>
        <v>1942.0000000000002</v>
      </c>
      <c r="AG198">
        <f>SUM(AG192:AG197)</f>
        <v>194.20000000000005</v>
      </c>
    </row>
    <row r="265" spans="1:20" ht="23">
      <c r="A265" s="32"/>
      <c r="B265" s="99" t="s">
        <v>272</v>
      </c>
      <c r="I265" t="s">
        <v>245</v>
      </c>
      <c r="L265" s="99" t="s">
        <v>278</v>
      </c>
      <c r="S265" t="s">
        <v>245</v>
      </c>
    </row>
    <row r="266" spans="1:20">
      <c r="B266" s="620" t="s">
        <v>268</v>
      </c>
      <c r="C266" s="620"/>
      <c r="D266" s="100"/>
      <c r="E266" s="100" t="s">
        <v>261</v>
      </c>
      <c r="F266" s="100" t="s">
        <v>262</v>
      </c>
      <c r="G266" s="100" t="s">
        <v>263</v>
      </c>
      <c r="H266" s="100" t="s">
        <v>264</v>
      </c>
      <c r="I266" s="100" t="s">
        <v>265</v>
      </c>
      <c r="J266" s="100"/>
      <c r="L266" s="620" t="s">
        <v>271</v>
      </c>
      <c r="M266" s="620"/>
      <c r="N266" s="100"/>
      <c r="O266" s="100" t="s">
        <v>261</v>
      </c>
      <c r="P266" s="100" t="s">
        <v>262</v>
      </c>
      <c r="Q266" s="100" t="s">
        <v>263</v>
      </c>
      <c r="R266" s="100" t="s">
        <v>264</v>
      </c>
      <c r="S266" s="100" t="s">
        <v>265</v>
      </c>
      <c r="T266" s="100"/>
    </row>
    <row r="267" spans="1:20">
      <c r="B267" s="619" t="s">
        <v>135</v>
      </c>
      <c r="C267" s="619"/>
      <c r="D267" s="98"/>
      <c r="E267" s="622" t="s">
        <v>273</v>
      </c>
      <c r="F267" s="623"/>
      <c r="G267" s="623"/>
      <c r="H267" s="623"/>
      <c r="I267" s="624"/>
      <c r="J267" s="98"/>
      <c r="L267" s="619" t="s">
        <v>135</v>
      </c>
      <c r="M267" s="619"/>
      <c r="N267" s="98"/>
      <c r="O267" s="622" t="s">
        <v>273</v>
      </c>
      <c r="P267" s="623"/>
      <c r="Q267" s="623"/>
      <c r="R267" s="624"/>
      <c r="S267" s="98"/>
      <c r="T267" s="98"/>
    </row>
    <row r="268" spans="1:20">
      <c r="B268" s="619"/>
      <c r="C268" s="619"/>
      <c r="D268" s="98"/>
      <c r="E268" s="625"/>
      <c r="F268" s="626"/>
      <c r="G268" s="626"/>
      <c r="H268" s="626"/>
      <c r="I268" s="627"/>
      <c r="J268" s="98"/>
      <c r="L268" s="619"/>
      <c r="M268" s="619"/>
      <c r="N268" s="98"/>
      <c r="O268" s="625"/>
      <c r="P268" s="626"/>
      <c r="Q268" s="626"/>
      <c r="R268" s="627"/>
      <c r="S268" s="98"/>
      <c r="T268" s="98"/>
    </row>
    <row r="269" spans="1:20">
      <c r="B269" s="619" t="s">
        <v>136</v>
      </c>
      <c r="C269" s="619"/>
      <c r="D269" s="98" t="s">
        <v>36</v>
      </c>
      <c r="E269" s="101">
        <f>$N$29*U11</f>
        <v>36.155999999999999</v>
      </c>
      <c r="F269" s="101">
        <f>$N$29*V11</f>
        <v>10.35</v>
      </c>
      <c r="G269" s="101">
        <f>$N$29*W11</f>
        <v>82.524000000000001</v>
      </c>
      <c r="H269" s="101">
        <f>$N$29*X11</f>
        <v>8.9700000000000006</v>
      </c>
      <c r="I269" s="101">
        <f>SUM(E269:H269)</f>
        <v>138</v>
      </c>
      <c r="J269" s="98" t="b">
        <f>I269=N29</f>
        <v>1</v>
      </c>
      <c r="L269" s="619" t="s">
        <v>136</v>
      </c>
      <c r="M269" s="619"/>
      <c r="N269" s="98" t="s">
        <v>36</v>
      </c>
      <c r="O269" s="101">
        <f>$Q$29*U11</f>
        <v>35.370000000000005</v>
      </c>
      <c r="P269" s="101">
        <f>$Q$29*V11</f>
        <v>10.125</v>
      </c>
      <c r="Q269" s="101">
        <f>$Q$29*W11</f>
        <v>80.72999999999999</v>
      </c>
      <c r="R269" s="101">
        <f>$Q$29*X11</f>
        <v>8.7750000000000004</v>
      </c>
      <c r="S269" s="101">
        <f>SUM(O269:R269)</f>
        <v>135</v>
      </c>
      <c r="T269" s="98" t="b">
        <f>S269=Q29</f>
        <v>1</v>
      </c>
    </row>
    <row r="270" spans="1:20">
      <c r="B270" s="619"/>
      <c r="C270" s="619"/>
      <c r="D270" s="98" t="s">
        <v>37</v>
      </c>
      <c r="E270" s="101">
        <f>$O$29*U12</f>
        <v>0</v>
      </c>
      <c r="F270" s="101">
        <f>$O$29*V12</f>
        <v>0</v>
      </c>
      <c r="G270" s="101">
        <f>$O$29*W12</f>
        <v>0</v>
      </c>
      <c r="H270" s="101">
        <f>$O$29*X12</f>
        <v>0</v>
      </c>
      <c r="I270" s="101">
        <f>SUM(E270:H270)</f>
        <v>0</v>
      </c>
      <c r="J270" s="98" t="b">
        <f>I270=O29</f>
        <v>1</v>
      </c>
      <c r="L270" s="619"/>
      <c r="M270" s="619"/>
      <c r="N270" s="98" t="s">
        <v>37</v>
      </c>
      <c r="O270" s="101">
        <f>$R$29*U12</f>
        <v>0</v>
      </c>
      <c r="P270" s="101">
        <f>$R$29*V12</f>
        <v>0</v>
      </c>
      <c r="Q270" s="101">
        <f>$R$29*W12</f>
        <v>0</v>
      </c>
      <c r="R270" s="101">
        <f>$R$29*X12</f>
        <v>0</v>
      </c>
      <c r="S270" s="101">
        <f>SUM(O270:R270)</f>
        <v>0</v>
      </c>
      <c r="T270" s="98" t="b">
        <f>S270=R29</f>
        <v>1</v>
      </c>
    </row>
    <row r="271" spans="1:20">
      <c r="B271" s="619" t="s">
        <v>137</v>
      </c>
      <c r="C271" s="619"/>
      <c r="D271" s="98" t="s">
        <v>36</v>
      </c>
      <c r="E271" s="101">
        <f>$N$30*U15</f>
        <v>312.512</v>
      </c>
      <c r="F271" s="101">
        <f>$N$30*V15</f>
        <v>74.015999999999991</v>
      </c>
      <c r="G271" s="101">
        <f>$N$30*W15</f>
        <v>425.59199999999998</v>
      </c>
      <c r="H271" s="101">
        <f>$N$30*X15</f>
        <v>215.88</v>
      </c>
      <c r="I271" s="101">
        <f t="shared" ref="I271:I288" si="69">SUM(E271:H271)</f>
        <v>1028</v>
      </c>
      <c r="J271" s="98" t="b">
        <f>I271=N30</f>
        <v>1</v>
      </c>
      <c r="L271" s="619" t="s">
        <v>137</v>
      </c>
      <c r="M271" s="619"/>
      <c r="N271" s="98" t="s">
        <v>36</v>
      </c>
      <c r="O271" s="101">
        <f>$Q$30*U15</f>
        <v>307.34399999999999</v>
      </c>
      <c r="P271" s="101">
        <f>$Q$30*V15</f>
        <v>72.792000000000002</v>
      </c>
      <c r="Q271" s="101">
        <f>$Q$30*W15</f>
        <v>418.55399999999997</v>
      </c>
      <c r="R271" s="101">
        <f>$Q$30*X15</f>
        <v>212.31</v>
      </c>
      <c r="S271" s="101">
        <f t="shared" ref="S271:S288" si="70">SUM(O271:R271)</f>
        <v>1011</v>
      </c>
      <c r="T271" s="98" t="b">
        <f>S271=Q30</f>
        <v>1</v>
      </c>
    </row>
    <row r="272" spans="1:20">
      <c r="B272" s="619"/>
      <c r="C272" s="619"/>
      <c r="D272" s="98" t="s">
        <v>37</v>
      </c>
      <c r="E272" s="101">
        <f>$O$30*U16</f>
        <v>0</v>
      </c>
      <c r="F272" s="101">
        <f>$O$30*V16</f>
        <v>0</v>
      </c>
      <c r="G272" s="101">
        <f>$O$30*W16</f>
        <v>0</v>
      </c>
      <c r="H272" s="101">
        <f>$O$30*X16</f>
        <v>0</v>
      </c>
      <c r="I272" s="101">
        <f t="shared" si="69"/>
        <v>0</v>
      </c>
      <c r="J272" s="98" t="b">
        <f>I272=O30</f>
        <v>1</v>
      </c>
      <c r="L272" s="619"/>
      <c r="M272" s="619"/>
      <c r="N272" s="98" t="s">
        <v>37</v>
      </c>
      <c r="O272" s="101">
        <f>$R$30*U16</f>
        <v>0</v>
      </c>
      <c r="P272" s="101">
        <f>$R$30*V16</f>
        <v>0</v>
      </c>
      <c r="Q272" s="101">
        <f>$R$30*W16</f>
        <v>0</v>
      </c>
      <c r="R272" s="101">
        <f>$R$30*X16</f>
        <v>0</v>
      </c>
      <c r="S272" s="101">
        <f t="shared" si="70"/>
        <v>0</v>
      </c>
      <c r="T272" s="98" t="b">
        <f>S272=R30</f>
        <v>1</v>
      </c>
    </row>
    <row r="273" spans="2:20">
      <c r="B273" s="619" t="s">
        <v>139</v>
      </c>
      <c r="C273" s="619"/>
      <c r="D273" s="98" t="s">
        <v>36</v>
      </c>
      <c r="E273" s="101">
        <f>$N$31*U13</f>
        <v>11167.695</v>
      </c>
      <c r="F273" s="101">
        <f>$N$31*V13</f>
        <v>1479.357</v>
      </c>
      <c r="G273" s="101">
        <f>$N$31*W13</f>
        <v>10094.436</v>
      </c>
      <c r="H273" s="101">
        <f>$N$31*X13</f>
        <v>6265.5119999999997</v>
      </c>
      <c r="I273" s="101">
        <f t="shared" si="69"/>
        <v>29006.999999999996</v>
      </c>
      <c r="J273" s="98" t="b">
        <f>I273=N31</f>
        <v>1</v>
      </c>
      <c r="L273" s="619" t="s">
        <v>139</v>
      </c>
      <c r="M273" s="619"/>
      <c r="N273" s="98" t="s">
        <v>36</v>
      </c>
      <c r="O273" s="101">
        <f>$Q$31*U13</f>
        <v>10984.82</v>
      </c>
      <c r="P273" s="101">
        <f>$Q$31*V13</f>
        <v>1455.1319999999998</v>
      </c>
      <c r="Q273" s="101">
        <f>$Q$31*W13</f>
        <v>9929.1359999999986</v>
      </c>
      <c r="R273" s="101">
        <f>$Q$31*X13</f>
        <v>6162.9120000000003</v>
      </c>
      <c r="S273" s="101">
        <f t="shared" si="70"/>
        <v>28531.999999999996</v>
      </c>
      <c r="T273" s="98" t="b">
        <f>S273=Q31</f>
        <v>1</v>
      </c>
    </row>
    <row r="274" spans="2:20">
      <c r="B274" s="619"/>
      <c r="C274" s="619"/>
      <c r="D274" s="98" t="s">
        <v>37</v>
      </c>
      <c r="E274" s="101">
        <f>$O$31*U14</f>
        <v>0</v>
      </c>
      <c r="F274" s="101">
        <f>$O$31*V14</f>
        <v>0</v>
      </c>
      <c r="G274" s="101">
        <f>$O$31*W14</f>
        <v>0</v>
      </c>
      <c r="H274" s="101">
        <f>$O$31*X14</f>
        <v>0</v>
      </c>
      <c r="I274" s="101">
        <f t="shared" si="69"/>
        <v>0</v>
      </c>
      <c r="J274" s="98" t="b">
        <f>I274=O31</f>
        <v>1</v>
      </c>
      <c r="L274" s="619"/>
      <c r="M274" s="619"/>
      <c r="N274" s="98" t="s">
        <v>37</v>
      </c>
      <c r="O274" s="101">
        <f>$R$31*U14</f>
        <v>0</v>
      </c>
      <c r="P274" s="101">
        <f>$R$31*V14</f>
        <v>0</v>
      </c>
      <c r="Q274" s="101">
        <f>$R$31*W14</f>
        <v>0</v>
      </c>
      <c r="R274" s="101">
        <f>$R$31*X14</f>
        <v>0</v>
      </c>
      <c r="S274" s="101">
        <f t="shared" si="70"/>
        <v>0</v>
      </c>
      <c r="T274" s="98" t="b">
        <f>S274=R31</f>
        <v>1</v>
      </c>
    </row>
    <row r="275" spans="2:20">
      <c r="B275" s="619" t="s">
        <v>43</v>
      </c>
      <c r="C275" s="619"/>
      <c r="D275" s="98" t="s">
        <v>36</v>
      </c>
      <c r="E275" s="101">
        <f>$N$32*U13</f>
        <v>1210.44</v>
      </c>
      <c r="F275" s="101">
        <f>$N$32*V13</f>
        <v>160.34399999999999</v>
      </c>
      <c r="G275" s="101">
        <f>$N$32*W13</f>
        <v>1094.1119999999999</v>
      </c>
      <c r="H275" s="101">
        <f>$N$32*X13</f>
        <v>679.10400000000004</v>
      </c>
      <c r="I275" s="101">
        <f t="shared" si="69"/>
        <v>3144</v>
      </c>
      <c r="J275" s="98" t="b">
        <f>I275=N32</f>
        <v>1</v>
      </c>
      <c r="L275" s="619" t="s">
        <v>43</v>
      </c>
      <c r="M275" s="619"/>
      <c r="N275" s="98" t="s">
        <v>36</v>
      </c>
      <c r="O275" s="101">
        <f>$Q$32*U13</f>
        <v>1190.42</v>
      </c>
      <c r="P275" s="101">
        <f>$Q$32*V13</f>
        <v>157.69199999999998</v>
      </c>
      <c r="Q275" s="101">
        <f>$Q$32*W13</f>
        <v>1076.0159999999998</v>
      </c>
      <c r="R275" s="101">
        <f>$Q$32*X13</f>
        <v>667.87199999999996</v>
      </c>
      <c r="S275" s="101">
        <f t="shared" si="70"/>
        <v>3091.9999999999995</v>
      </c>
      <c r="T275" s="98" t="b">
        <f>S275=Q32</f>
        <v>1</v>
      </c>
    </row>
    <row r="276" spans="2:20">
      <c r="B276" s="619"/>
      <c r="C276" s="619"/>
      <c r="D276" s="98" t="s">
        <v>37</v>
      </c>
      <c r="E276" s="101">
        <f>$O$32*U14</f>
        <v>0</v>
      </c>
      <c r="F276" s="101">
        <f>$O$32*V14</f>
        <v>0</v>
      </c>
      <c r="G276" s="101">
        <f>$O$32*W14</f>
        <v>0</v>
      </c>
      <c r="H276" s="101">
        <f>$O$32*X14</f>
        <v>0</v>
      </c>
      <c r="I276" s="101">
        <f t="shared" si="69"/>
        <v>0</v>
      </c>
      <c r="J276" s="98" t="b">
        <f>I276=O32</f>
        <v>1</v>
      </c>
      <c r="L276" s="619"/>
      <c r="M276" s="619"/>
      <c r="N276" s="98" t="s">
        <v>37</v>
      </c>
      <c r="O276" s="101">
        <f>$R$32*U14</f>
        <v>0</v>
      </c>
      <c r="P276" s="101">
        <f>$R$32*V14</f>
        <v>0</v>
      </c>
      <c r="Q276" s="101">
        <f>$R$32*W14</f>
        <v>0</v>
      </c>
      <c r="R276" s="101">
        <f>$R$32*X14</f>
        <v>0</v>
      </c>
      <c r="S276" s="101">
        <f t="shared" si="70"/>
        <v>0</v>
      </c>
      <c r="T276" s="98" t="b">
        <f>S276=R32</f>
        <v>1</v>
      </c>
    </row>
    <row r="277" spans="2:20">
      <c r="B277" s="619" t="s">
        <v>141</v>
      </c>
      <c r="C277" s="619"/>
      <c r="D277" s="98" t="s">
        <v>36</v>
      </c>
      <c r="E277" s="101">
        <f>$N$33*U13</f>
        <v>1033.3399999999999</v>
      </c>
      <c r="F277" s="101">
        <f>$N$33*V13</f>
        <v>136.88399999999999</v>
      </c>
      <c r="G277" s="101">
        <f>$N$33*W13</f>
        <v>934.03199999999993</v>
      </c>
      <c r="H277" s="101">
        <f>$N$33*X13</f>
        <v>579.74400000000003</v>
      </c>
      <c r="I277" s="101">
        <f t="shared" si="69"/>
        <v>2684</v>
      </c>
      <c r="J277" s="98" t="b">
        <f>I277=N33</f>
        <v>1</v>
      </c>
      <c r="L277" s="619" t="s">
        <v>141</v>
      </c>
      <c r="M277" s="619"/>
      <c r="N277" s="98" t="s">
        <v>36</v>
      </c>
      <c r="O277" s="101">
        <f>$Q$33*U13</f>
        <v>1016.4</v>
      </c>
      <c r="P277" s="101">
        <f>$Q$33*V13</f>
        <v>134.63999999999999</v>
      </c>
      <c r="Q277" s="101">
        <f>$Q$33*W13</f>
        <v>918.71999999999991</v>
      </c>
      <c r="R277" s="101">
        <f>$Q$33*X13</f>
        <v>570.24</v>
      </c>
      <c r="S277" s="101">
        <f t="shared" si="70"/>
        <v>2640</v>
      </c>
      <c r="T277" s="98" t="b">
        <f>S277=Q33</f>
        <v>1</v>
      </c>
    </row>
    <row r="278" spans="2:20">
      <c r="B278" s="619"/>
      <c r="C278" s="619"/>
      <c r="D278" s="98" t="s">
        <v>37</v>
      </c>
      <c r="E278" s="101">
        <f>$O$33*U14</f>
        <v>0</v>
      </c>
      <c r="F278" s="101">
        <f>$O$33*V14</f>
        <v>0</v>
      </c>
      <c r="G278" s="101">
        <f>$O$33*W14</f>
        <v>0</v>
      </c>
      <c r="H278" s="101">
        <f>$O$33*X14</f>
        <v>0</v>
      </c>
      <c r="I278" s="101">
        <f t="shared" si="69"/>
        <v>0</v>
      </c>
      <c r="J278" s="98" t="b">
        <f>I278=O33</f>
        <v>1</v>
      </c>
      <c r="L278" s="619"/>
      <c r="M278" s="619"/>
      <c r="N278" s="98" t="s">
        <v>37</v>
      </c>
      <c r="O278" s="101">
        <f>$R$33*U14</f>
        <v>0</v>
      </c>
      <c r="P278" s="101">
        <f>$R$33*V14</f>
        <v>0</v>
      </c>
      <c r="Q278" s="101">
        <f>$R$33*W14</f>
        <v>0</v>
      </c>
      <c r="R278" s="101">
        <f>$R$33*X14</f>
        <v>0</v>
      </c>
      <c r="S278" s="101">
        <f t="shared" si="70"/>
        <v>0</v>
      </c>
      <c r="T278" s="98" t="b">
        <f>S278=R33</f>
        <v>1</v>
      </c>
    </row>
    <row r="279" spans="2:20">
      <c r="B279" s="619" t="s">
        <v>269</v>
      </c>
      <c r="C279" s="619" t="s">
        <v>14</v>
      </c>
      <c r="D279" s="98" t="s">
        <v>36</v>
      </c>
      <c r="E279" s="101">
        <f>$N$35*U15</f>
        <v>241.98399999999998</v>
      </c>
      <c r="F279" s="101">
        <f>$N$35*V15</f>
        <v>57.311999999999998</v>
      </c>
      <c r="G279" s="101">
        <f>$N$35*W15</f>
        <v>329.54399999999998</v>
      </c>
      <c r="H279" s="101">
        <f>$N$35*X15</f>
        <v>167.16</v>
      </c>
      <c r="I279" s="101">
        <f t="shared" si="69"/>
        <v>795.99999999999989</v>
      </c>
      <c r="J279" s="98" t="b">
        <f>I279=N35</f>
        <v>1</v>
      </c>
      <c r="L279" s="619" t="s">
        <v>269</v>
      </c>
      <c r="M279" s="619" t="s">
        <v>14</v>
      </c>
      <c r="N279" s="98" t="s">
        <v>36</v>
      </c>
      <c r="O279" s="101">
        <f>$Q$35*U15</f>
        <v>238.03199999999998</v>
      </c>
      <c r="P279" s="101">
        <f>$Q$35*V15</f>
        <v>56.375999999999998</v>
      </c>
      <c r="Q279" s="101">
        <f>$Q$35*W15</f>
        <v>324.16199999999998</v>
      </c>
      <c r="R279" s="101">
        <f>$Q$35*X15</f>
        <v>164.43</v>
      </c>
      <c r="S279" s="101">
        <f t="shared" si="70"/>
        <v>783</v>
      </c>
      <c r="T279" s="98" t="b">
        <f>S279=Q35</f>
        <v>1</v>
      </c>
    </row>
    <row r="280" spans="2:20">
      <c r="B280" s="619"/>
      <c r="C280" s="619"/>
      <c r="D280" s="98" t="s">
        <v>37</v>
      </c>
      <c r="E280" s="101">
        <f>$O$35*U16</f>
        <v>0</v>
      </c>
      <c r="F280" s="101">
        <f>$O$35*V16</f>
        <v>0</v>
      </c>
      <c r="G280" s="101">
        <f>$O$35*W16</f>
        <v>0</v>
      </c>
      <c r="H280" s="101">
        <f>$O$35*X16</f>
        <v>0</v>
      </c>
      <c r="I280" s="101">
        <f t="shared" si="69"/>
        <v>0</v>
      </c>
      <c r="J280" s="98" t="b">
        <f>I280=O35</f>
        <v>1</v>
      </c>
      <c r="L280" s="619"/>
      <c r="M280" s="619"/>
      <c r="N280" s="98" t="s">
        <v>37</v>
      </c>
      <c r="O280" s="101">
        <f>$R$35*U16</f>
        <v>0</v>
      </c>
      <c r="P280" s="101">
        <f>$R$35*V16</f>
        <v>0</v>
      </c>
      <c r="Q280" s="101">
        <f>$R$35*W16</f>
        <v>0</v>
      </c>
      <c r="R280" s="101">
        <f>$R$35*X16</f>
        <v>0</v>
      </c>
      <c r="S280" s="101">
        <f t="shared" si="70"/>
        <v>0</v>
      </c>
      <c r="T280" s="98" t="b">
        <f>S280=R35</f>
        <v>1</v>
      </c>
    </row>
    <row r="281" spans="2:20">
      <c r="B281" s="619"/>
      <c r="C281" s="619" t="s">
        <v>13</v>
      </c>
      <c r="D281" s="98" t="s">
        <v>36</v>
      </c>
      <c r="E281" s="101">
        <f>$N$36*U11</f>
        <v>160.34399999999999</v>
      </c>
      <c r="F281" s="101">
        <f>$N$36*V11</f>
        <v>45.9</v>
      </c>
      <c r="G281" s="101">
        <f>$N$36*W11</f>
        <v>365.976</v>
      </c>
      <c r="H281" s="101">
        <f>$N$36*X11</f>
        <v>39.78</v>
      </c>
      <c r="I281" s="101">
        <f t="shared" si="69"/>
        <v>612</v>
      </c>
      <c r="J281" s="98" t="b">
        <f>I281=N36</f>
        <v>1</v>
      </c>
      <c r="L281" s="619"/>
      <c r="M281" s="619" t="s">
        <v>13</v>
      </c>
      <c r="N281" s="98" t="s">
        <v>36</v>
      </c>
      <c r="O281" s="101">
        <f>$Q$36*U11</f>
        <v>157.72400000000002</v>
      </c>
      <c r="P281" s="101">
        <f>$Q$36*V11</f>
        <v>45.15</v>
      </c>
      <c r="Q281" s="101">
        <f>$Q$36*W11</f>
        <v>359.99599999999998</v>
      </c>
      <c r="R281" s="101">
        <f>$Q$36*X11</f>
        <v>39.130000000000003</v>
      </c>
      <c r="S281" s="101">
        <f t="shared" si="70"/>
        <v>602</v>
      </c>
      <c r="T281" s="98" t="b">
        <f>S281=Q36</f>
        <v>1</v>
      </c>
    </row>
    <row r="282" spans="2:20">
      <c r="B282" s="619"/>
      <c r="C282" s="619"/>
      <c r="D282" s="98" t="s">
        <v>37</v>
      </c>
      <c r="E282" s="101">
        <f>$O$36*U12</f>
        <v>0</v>
      </c>
      <c r="F282" s="101">
        <f>$O$36*V12</f>
        <v>0</v>
      </c>
      <c r="G282" s="101">
        <f>$O$36*W12</f>
        <v>0</v>
      </c>
      <c r="H282" s="101">
        <f>$O$36*X12</f>
        <v>0</v>
      </c>
      <c r="I282" s="101">
        <f t="shared" si="69"/>
        <v>0</v>
      </c>
      <c r="J282" s="98" t="b">
        <f>I282=O36</f>
        <v>1</v>
      </c>
      <c r="L282" s="619"/>
      <c r="M282" s="619"/>
      <c r="N282" s="98" t="s">
        <v>37</v>
      </c>
      <c r="O282" s="101">
        <f>$R$36*U12</f>
        <v>0</v>
      </c>
      <c r="P282" s="101">
        <f>$R$36*V12</f>
        <v>0</v>
      </c>
      <c r="Q282" s="101">
        <f>$R$36*W12</f>
        <v>0</v>
      </c>
      <c r="R282" s="101">
        <f>$R$36*X12</f>
        <v>0</v>
      </c>
      <c r="S282" s="101">
        <f t="shared" si="70"/>
        <v>0</v>
      </c>
      <c r="T282" s="98" t="b">
        <f>S282=R36</f>
        <v>1</v>
      </c>
    </row>
    <row r="283" spans="2:20">
      <c r="B283" s="619"/>
      <c r="C283" s="619" t="s">
        <v>23</v>
      </c>
      <c r="D283" s="98" t="s">
        <v>36</v>
      </c>
      <c r="E283" s="101">
        <f>$N$37*U17</f>
        <v>654.19799999999998</v>
      </c>
      <c r="F283" s="101">
        <f>$N$37*V17</f>
        <v>146.73599999999999</v>
      </c>
      <c r="G283" s="101">
        <f>$N$37*W17</f>
        <v>857.99799999999993</v>
      </c>
      <c r="H283" s="101">
        <f>$N$37*X17</f>
        <v>379.06799999999998</v>
      </c>
      <c r="I283" s="101">
        <f t="shared" si="69"/>
        <v>2037.9999999999998</v>
      </c>
      <c r="J283" s="98" t="b">
        <f>I283=N37</f>
        <v>1</v>
      </c>
      <c r="L283" s="619"/>
      <c r="M283" s="619" t="s">
        <v>23</v>
      </c>
      <c r="N283" s="98" t="s">
        <v>36</v>
      </c>
      <c r="O283" s="101">
        <f>$Q$37*U17</f>
        <v>643.60500000000002</v>
      </c>
      <c r="P283" s="101">
        <f>$Q$37*V17</f>
        <v>144.35999999999999</v>
      </c>
      <c r="Q283" s="101">
        <f>$Q$37*W17</f>
        <v>844.10500000000002</v>
      </c>
      <c r="R283" s="101">
        <f>$Q$37*X17</f>
        <v>372.93</v>
      </c>
      <c r="S283" s="101">
        <f t="shared" si="70"/>
        <v>2005.0000000000002</v>
      </c>
      <c r="T283" s="98" t="b">
        <f>S283=Q37</f>
        <v>1</v>
      </c>
    </row>
    <row r="284" spans="2:20">
      <c r="B284" s="619"/>
      <c r="C284" s="619"/>
      <c r="D284" s="98" t="s">
        <v>37</v>
      </c>
      <c r="E284" s="101">
        <f>$O$37*U18</f>
        <v>0</v>
      </c>
      <c r="F284" s="101">
        <f>$O$37*V18</f>
        <v>0</v>
      </c>
      <c r="G284" s="101">
        <f>$O$37*W18</f>
        <v>0</v>
      </c>
      <c r="H284" s="101">
        <f>$O$37*X18</f>
        <v>0</v>
      </c>
      <c r="I284" s="101">
        <f t="shared" si="69"/>
        <v>0</v>
      </c>
      <c r="J284" s="98" t="b">
        <f>I284=O37</f>
        <v>1</v>
      </c>
      <c r="L284" s="619"/>
      <c r="M284" s="619"/>
      <c r="N284" s="98" t="s">
        <v>37</v>
      </c>
      <c r="O284" s="101">
        <f>$R$37*U18</f>
        <v>0</v>
      </c>
      <c r="P284" s="101">
        <f>$R$37*V18</f>
        <v>0</v>
      </c>
      <c r="Q284" s="101">
        <f>$R$37*W18</f>
        <v>0</v>
      </c>
      <c r="R284" s="101">
        <f>$R$37*X18</f>
        <v>0</v>
      </c>
      <c r="S284" s="101">
        <f t="shared" si="70"/>
        <v>0</v>
      </c>
      <c r="T284" s="98" t="b">
        <f>S284=R37</f>
        <v>1</v>
      </c>
    </row>
    <row r="285" spans="2:20">
      <c r="B285" s="619" t="s">
        <v>144</v>
      </c>
      <c r="C285" s="619"/>
      <c r="D285" s="98" t="s">
        <v>36</v>
      </c>
      <c r="E285" s="101">
        <f>$N$38*U15</f>
        <v>331.66399999999999</v>
      </c>
      <c r="F285" s="101">
        <f>$N$38*V15</f>
        <v>78.551999999999992</v>
      </c>
      <c r="G285" s="101">
        <f>$N$38*W15</f>
        <v>451.67399999999998</v>
      </c>
      <c r="H285" s="101">
        <f>$N$38*X15</f>
        <v>229.10999999999999</v>
      </c>
      <c r="I285" s="101">
        <f t="shared" si="69"/>
        <v>1091</v>
      </c>
      <c r="J285" s="98" t="b">
        <f>I285=N38</f>
        <v>1</v>
      </c>
      <c r="L285" s="619" t="s">
        <v>144</v>
      </c>
      <c r="M285" s="619"/>
      <c r="N285" s="98" t="s">
        <v>36</v>
      </c>
      <c r="O285" s="101">
        <f>$Q$38*U15</f>
        <v>326.19200000000001</v>
      </c>
      <c r="P285" s="101">
        <f>$Q$38*V15</f>
        <v>77.256</v>
      </c>
      <c r="Q285" s="101">
        <f>$Q$38*W15</f>
        <v>444.22199999999998</v>
      </c>
      <c r="R285" s="101">
        <f>$Q$38*X15</f>
        <v>225.32999999999998</v>
      </c>
      <c r="S285" s="101">
        <f t="shared" si="70"/>
        <v>1073</v>
      </c>
      <c r="T285" s="98" t="b">
        <f>S285=Q38</f>
        <v>1</v>
      </c>
    </row>
    <row r="286" spans="2:20">
      <c r="B286" s="619"/>
      <c r="C286" s="619"/>
      <c r="D286" s="98" t="s">
        <v>37</v>
      </c>
      <c r="E286" s="101">
        <f>$O$38*U16</f>
        <v>0</v>
      </c>
      <c r="F286" s="101">
        <f>$O$38*V16</f>
        <v>0</v>
      </c>
      <c r="G286" s="101">
        <f>$O$38*W16</f>
        <v>0</v>
      </c>
      <c r="H286" s="101">
        <f>$O$38*X16</f>
        <v>0</v>
      </c>
      <c r="I286" s="101">
        <f t="shared" si="69"/>
        <v>0</v>
      </c>
      <c r="J286" s="98" t="b">
        <f>I286=O38</f>
        <v>1</v>
      </c>
      <c r="L286" s="619"/>
      <c r="M286" s="619"/>
      <c r="N286" s="98" t="s">
        <v>37</v>
      </c>
      <c r="O286" s="101">
        <f>$R$38*U16</f>
        <v>0</v>
      </c>
      <c r="P286" s="101">
        <f>$R$38*V16</f>
        <v>0</v>
      </c>
      <c r="Q286" s="101">
        <f>$R$38*W16</f>
        <v>0</v>
      </c>
      <c r="R286" s="101">
        <f>$R$38*X16</f>
        <v>0</v>
      </c>
      <c r="S286" s="101">
        <f t="shared" si="70"/>
        <v>0</v>
      </c>
      <c r="T286" s="98" t="b">
        <f>S286=R38</f>
        <v>1</v>
      </c>
    </row>
    <row r="287" spans="2:20">
      <c r="B287" s="619" t="s">
        <v>270</v>
      </c>
      <c r="C287" s="619"/>
      <c r="D287" s="98" t="s">
        <v>36</v>
      </c>
      <c r="E287" s="101">
        <f>$N$39*U11</f>
        <v>90.128</v>
      </c>
      <c r="F287" s="101">
        <f>$N$39*V11</f>
        <v>25.8</v>
      </c>
      <c r="G287" s="101">
        <f>$N$39*W11</f>
        <v>205.71199999999999</v>
      </c>
      <c r="H287" s="101">
        <f>$N$39*X11</f>
        <v>22.36</v>
      </c>
      <c r="I287" s="101">
        <f t="shared" si="69"/>
        <v>344</v>
      </c>
      <c r="J287" s="98" t="b">
        <f>I287=N39</f>
        <v>1</v>
      </c>
      <c r="L287" s="619" t="s">
        <v>270</v>
      </c>
      <c r="M287" s="619"/>
      <c r="N287" s="98" t="s">
        <v>36</v>
      </c>
      <c r="O287" s="101">
        <f>$Q$39*U11</f>
        <v>88.555999999999997</v>
      </c>
      <c r="P287" s="101">
        <f>$Q$39*V11</f>
        <v>25.349999999999998</v>
      </c>
      <c r="Q287" s="101">
        <f>$Q$39*W11</f>
        <v>202.124</v>
      </c>
      <c r="R287" s="101">
        <f>$Q$39*X11</f>
        <v>21.970000000000002</v>
      </c>
      <c r="S287" s="101">
        <f t="shared" si="70"/>
        <v>338</v>
      </c>
      <c r="T287" s="98" t="b">
        <f>S287=Q39</f>
        <v>1</v>
      </c>
    </row>
    <row r="288" spans="2:20">
      <c r="B288" s="619"/>
      <c r="C288" s="619"/>
      <c r="D288" s="98" t="s">
        <v>37</v>
      </c>
      <c r="E288" s="101">
        <f>$O$39*U12</f>
        <v>0</v>
      </c>
      <c r="F288" s="101">
        <f>$O$39*V12</f>
        <v>0</v>
      </c>
      <c r="G288" s="101">
        <f>$O$39*W12</f>
        <v>0</v>
      </c>
      <c r="H288" s="101">
        <f>$O$39*X12</f>
        <v>0</v>
      </c>
      <c r="I288" s="101">
        <f t="shared" si="69"/>
        <v>0</v>
      </c>
      <c r="J288" s="98" t="b">
        <f>I288=O39</f>
        <v>1</v>
      </c>
      <c r="L288" s="619"/>
      <c r="M288" s="619"/>
      <c r="N288" s="98" t="s">
        <v>37</v>
      </c>
      <c r="O288" s="101">
        <f>$R$39*U12</f>
        <v>0</v>
      </c>
      <c r="P288" s="101">
        <f>$R$39*V12</f>
        <v>0</v>
      </c>
      <c r="Q288" s="101">
        <f>$R$39*W12</f>
        <v>0</v>
      </c>
      <c r="R288" s="101">
        <f>$R$39*X12</f>
        <v>0</v>
      </c>
      <c r="S288" s="101">
        <f t="shared" si="70"/>
        <v>0</v>
      </c>
      <c r="T288" s="98" t="b">
        <f>S288=R39</f>
        <v>1</v>
      </c>
    </row>
    <row r="292" spans="2:17" ht="23">
      <c r="B292" s="102" t="s">
        <v>355</v>
      </c>
      <c r="L292" s="102" t="s">
        <v>356</v>
      </c>
    </row>
    <row r="294" spans="2:17">
      <c r="G294" t="s">
        <v>277</v>
      </c>
    </row>
    <row r="295" spans="2:17">
      <c r="C295" s="621" t="s">
        <v>27</v>
      </c>
      <c r="D295" s="621"/>
      <c r="E295" s="160" t="s">
        <v>261</v>
      </c>
      <c r="F295" s="160" t="s">
        <v>262</v>
      </c>
      <c r="G295" s="160" t="s">
        <v>263</v>
      </c>
      <c r="I295" s="100" t="s">
        <v>264</v>
      </c>
      <c r="J295" s="100" t="s">
        <v>265</v>
      </c>
      <c r="M295" s="621" t="s">
        <v>27</v>
      </c>
      <c r="N295" s="621"/>
      <c r="O295" s="160" t="s">
        <v>261</v>
      </c>
      <c r="P295" s="160" t="s">
        <v>262</v>
      </c>
      <c r="Q295" s="160" t="s">
        <v>263</v>
      </c>
    </row>
    <row r="296" spans="2:17">
      <c r="C296" s="618" t="s">
        <v>135</v>
      </c>
      <c r="D296" s="618"/>
      <c r="E296" s="161"/>
      <c r="F296" s="161"/>
      <c r="G296" s="161"/>
      <c r="I296" s="98"/>
      <c r="J296" s="98"/>
      <c r="M296" s="618" t="s">
        <v>135</v>
      </c>
      <c r="N296" s="618"/>
      <c r="O296" s="161"/>
      <c r="P296" s="161"/>
      <c r="Q296" s="161"/>
    </row>
    <row r="297" spans="2:17">
      <c r="C297" s="618" t="s">
        <v>136</v>
      </c>
      <c r="D297" s="618"/>
      <c r="E297" s="162">
        <f>SUM(E$269:E$270)/$L$7</f>
        <v>25.642553191489363</v>
      </c>
      <c r="F297" s="162">
        <f>SUM(F$269:F$270)/$M$7</f>
        <v>6.8999999999999995</v>
      </c>
      <c r="G297" s="162">
        <f>SUM(G$269:G$270)/$O$7</f>
        <v>2.8664119485932615</v>
      </c>
      <c r="I297" s="98"/>
      <c r="J297" s="98"/>
      <c r="M297" s="618" t="s">
        <v>136</v>
      </c>
      <c r="N297" s="618"/>
      <c r="O297" s="162">
        <f>SUM(O$269:O$270)/$L$7</f>
        <v>25.085106382978729</v>
      </c>
      <c r="P297" s="162">
        <f>SUM(P$269:P$270)/$M$7</f>
        <v>6.75</v>
      </c>
      <c r="Q297" s="162">
        <f>SUM(Q$269:Q$270)/$O$7</f>
        <v>2.804098645362973</v>
      </c>
    </row>
    <row r="298" spans="2:17">
      <c r="C298" s="618" t="s">
        <v>137</v>
      </c>
      <c r="D298" s="618"/>
      <c r="E298" s="162">
        <f>SUM(E$271:E$272)/$L$7</f>
        <v>221.63971631205675</v>
      </c>
      <c r="F298" s="162">
        <f>SUM(F$271:F$272)/$M$7</f>
        <v>49.343999999999994</v>
      </c>
      <c r="G298" s="162">
        <f>SUM(G$271:G$272)/$O$7</f>
        <v>14.782632858631469</v>
      </c>
      <c r="I298" s="98"/>
      <c r="J298" s="98"/>
      <c r="M298" s="618" t="s">
        <v>137</v>
      </c>
      <c r="N298" s="618"/>
      <c r="O298" s="162">
        <f>SUM(O$271:O$272)/$L$7</f>
        <v>217.97446808510639</v>
      </c>
      <c r="P298" s="162">
        <f>SUM(P$271:P$272)/$M$7</f>
        <v>48.527999999999999</v>
      </c>
      <c r="Q298" s="162">
        <f>SUM(Q$271:Q$272)/$O$7</f>
        <v>14.538172976728029</v>
      </c>
    </row>
    <row r="299" spans="2:17">
      <c r="C299" s="618" t="s">
        <v>139</v>
      </c>
      <c r="D299" s="618"/>
      <c r="E299" s="162">
        <f>SUM(E$273:E$274)/$L$7</f>
        <v>7920.3510638297876</v>
      </c>
      <c r="F299" s="162">
        <f>SUM(F$273:F$274)/$M$7</f>
        <v>986.23799999999994</v>
      </c>
      <c r="G299" s="162">
        <f>SUM(G$273:G$274)/$O$7</f>
        <v>350.62299409517192</v>
      </c>
      <c r="I299" s="98"/>
      <c r="J299" s="98"/>
      <c r="M299" s="618" t="s">
        <v>139</v>
      </c>
      <c r="N299" s="618"/>
      <c r="O299" s="162">
        <f>SUM(O$273:O$274)/$L$7</f>
        <v>7790.6524822695037</v>
      </c>
      <c r="P299" s="162">
        <f>SUM(P$273:P$274)/$M$7</f>
        <v>970.08799999999985</v>
      </c>
      <c r="Q299" s="162">
        <f>SUM(Q$273:Q$274)/$O$7</f>
        <v>344.88141715873564</v>
      </c>
    </row>
    <row r="300" spans="2:17">
      <c r="C300" s="618" t="s">
        <v>43</v>
      </c>
      <c r="D300" s="618"/>
      <c r="E300" s="162">
        <f>SUM(E$275:E$276)/$L$7</f>
        <v>858.46808510638311</v>
      </c>
      <c r="F300" s="162">
        <f>SUM(F$275:F$276)/$M$7</f>
        <v>106.896</v>
      </c>
      <c r="G300" s="162">
        <f>SUM(G$275:G$276)/$O$7</f>
        <v>38.003195554011803</v>
      </c>
      <c r="I300" s="98"/>
      <c r="J300" s="98"/>
      <c r="M300" s="618" t="s">
        <v>43</v>
      </c>
      <c r="N300" s="618"/>
      <c r="O300" s="162">
        <f>SUM(O$275:O$276)/$L$7</f>
        <v>844.26950354609937</v>
      </c>
      <c r="P300" s="162">
        <f>SUM(P$275:P$276)/$M$7</f>
        <v>105.12799999999999</v>
      </c>
      <c r="Q300" s="162">
        <f>SUM(Q$275:Q$276)/$O$7</f>
        <v>37.374643973601941</v>
      </c>
    </row>
    <row r="301" spans="2:17">
      <c r="C301" s="618" t="s">
        <v>141</v>
      </c>
      <c r="D301" s="618"/>
      <c r="E301" s="162">
        <f>SUM(E$277:E$278)/$L$7</f>
        <v>732.86524822695037</v>
      </c>
      <c r="F301" s="162">
        <f>SUM(F$277:F$278)/$M$7</f>
        <v>91.255999999999986</v>
      </c>
      <c r="G301" s="162">
        <f>SUM(G$277:G$278)/$O$7</f>
        <v>32.442931573463007</v>
      </c>
      <c r="I301" s="98"/>
      <c r="J301" s="98"/>
      <c r="M301" s="618" t="s">
        <v>141</v>
      </c>
      <c r="N301" s="618"/>
      <c r="O301" s="162">
        <f>SUM(O$277:O$278)/$L$7</f>
        <v>720.85106382978722</v>
      </c>
      <c r="P301" s="162">
        <f>SUM(P$277:P$278)/$M$7</f>
        <v>89.759999999999991</v>
      </c>
      <c r="Q301" s="162">
        <f>SUM(Q$277:Q$278)/$O$7</f>
        <v>31.911080236193122</v>
      </c>
    </row>
    <row r="302" spans="2:17">
      <c r="C302" s="191" t="s">
        <v>142</v>
      </c>
      <c r="D302" s="191" t="s">
        <v>21</v>
      </c>
      <c r="E302" s="162"/>
      <c r="F302" s="162"/>
      <c r="G302" s="162"/>
      <c r="I302" s="98"/>
      <c r="J302" s="98"/>
      <c r="M302" s="191" t="s">
        <v>142</v>
      </c>
      <c r="N302" s="191" t="s">
        <v>21</v>
      </c>
      <c r="O302" s="162"/>
      <c r="P302" s="162"/>
      <c r="Q302" s="162"/>
    </row>
    <row r="303" spans="2:17">
      <c r="C303" s="191" t="s">
        <v>19</v>
      </c>
      <c r="D303" s="191" t="s">
        <v>14</v>
      </c>
      <c r="E303" s="162">
        <f>SUM(E$279:E$280)/$L$7</f>
        <v>171.61985815602836</v>
      </c>
      <c r="F303" s="162">
        <f>SUM(F$279:F$280)/$M$7</f>
        <v>38.207999999999998</v>
      </c>
      <c r="G303" s="162">
        <f>SUM(G$279:G$280)/$O$7</f>
        <v>11.446474470302189</v>
      </c>
      <c r="I303" s="98"/>
      <c r="J303" s="98"/>
      <c r="M303" s="191" t="s">
        <v>19</v>
      </c>
      <c r="N303" s="191" t="s">
        <v>14</v>
      </c>
      <c r="O303" s="162">
        <f>SUM(O$279:O$280)/$L$7</f>
        <v>168.81702127659574</v>
      </c>
      <c r="P303" s="162">
        <f>SUM(P$279:P$280)/$M$7</f>
        <v>37.583999999999996</v>
      </c>
      <c r="Q303" s="162">
        <f>SUM(Q$279:Q$280)/$O$7</f>
        <v>11.259534560611323</v>
      </c>
    </row>
    <row r="304" spans="2:17" ht="25">
      <c r="C304" s="191" t="s">
        <v>20</v>
      </c>
      <c r="D304" s="191" t="s">
        <v>13</v>
      </c>
      <c r="E304" s="162">
        <f>SUM(E$281:E$282)/$L$7</f>
        <v>113.71914893617021</v>
      </c>
      <c r="F304" s="162">
        <f>SUM(F$281:F$282)/$M$7</f>
        <v>30.599999999999998</v>
      </c>
      <c r="G304" s="162">
        <f>SUM(G$281:G$282)/$O$7</f>
        <v>12.711913858978813</v>
      </c>
      <c r="I304" s="98"/>
      <c r="J304" s="98"/>
      <c r="M304" s="191" t="s">
        <v>20</v>
      </c>
      <c r="N304" s="191" t="s">
        <v>13</v>
      </c>
      <c r="O304" s="162">
        <f>SUM(O$281:O$282)/$L$7</f>
        <v>111.86099290780143</v>
      </c>
      <c r="P304" s="162">
        <f>SUM(P$281:P$282)/$M$7</f>
        <v>30.099999999999998</v>
      </c>
      <c r="Q304" s="162">
        <f>SUM(Q$281:Q$282)/$O$7</f>
        <v>12.504202848211184</v>
      </c>
    </row>
    <row r="305" spans="3:17">
      <c r="C305" s="104"/>
      <c r="D305" s="191" t="s">
        <v>23</v>
      </c>
      <c r="E305" s="162">
        <f>SUM(E$283:E$284)/$L$7</f>
        <v>463.97021276595746</v>
      </c>
      <c r="F305" s="162">
        <f>SUM(F$283:F$284)/$M$7</f>
        <v>97.823999999999998</v>
      </c>
      <c r="G305" s="162">
        <f>SUM(G$283:G$284)/$O$7</f>
        <v>29.801945119833274</v>
      </c>
      <c r="I305" s="98"/>
      <c r="J305" s="98"/>
      <c r="M305" s="104"/>
      <c r="N305" s="191" t="s">
        <v>23</v>
      </c>
      <c r="O305" s="162">
        <f>SUM(O$283:O$284)/$L$7</f>
        <v>456.45744680851067</v>
      </c>
      <c r="P305" s="162">
        <f>SUM(P$283:P$284)/$M$7</f>
        <v>96.24</v>
      </c>
      <c r="Q305" s="162">
        <f>SUM(Q$283:Q$284)/$O$7</f>
        <v>29.319381729767283</v>
      </c>
    </row>
    <row r="306" spans="3:17">
      <c r="C306" s="618" t="s">
        <v>144</v>
      </c>
      <c r="D306" s="618"/>
      <c r="E306" s="162">
        <f>SUM(E$285:E$286)/$L$7</f>
        <v>235.22269503546099</v>
      </c>
      <c r="F306" s="162">
        <f>SUM(F$285:F$286)/$M$7</f>
        <v>52.367999999999995</v>
      </c>
      <c r="G306" s="162">
        <f>SUM(G$285:G$286)/$O$7</f>
        <v>15.688572420979506</v>
      </c>
      <c r="I306" s="98"/>
      <c r="J306" s="98"/>
      <c r="M306" s="618" t="s">
        <v>144</v>
      </c>
      <c r="N306" s="618"/>
      <c r="O306" s="162">
        <f>SUM(O$285:O$286)/$L$7</f>
        <v>231.34184397163122</v>
      </c>
      <c r="P306" s="162">
        <f>SUM(P$285:P$286)/$M$7</f>
        <v>51.503999999999998</v>
      </c>
      <c r="Q306" s="162">
        <f>SUM(Q$285:Q$286)/$O$7</f>
        <v>15.429732546022924</v>
      </c>
    </row>
    <row r="307" spans="3:17">
      <c r="C307" s="618" t="s">
        <v>145</v>
      </c>
      <c r="D307" s="618"/>
      <c r="E307" s="162">
        <f>SUM(E$287:E$288)/$L$7</f>
        <v>63.920567375886527</v>
      </c>
      <c r="F307" s="162">
        <f>SUM(F$287:F$288)/$M$7</f>
        <v>17.2</v>
      </c>
      <c r="G307" s="162">
        <f>SUM(G$287:G$288)/$O$7</f>
        <v>7.1452587704063912</v>
      </c>
      <c r="I307" s="98"/>
      <c r="J307" s="98"/>
      <c r="M307" s="618" t="s">
        <v>145</v>
      </c>
      <c r="N307" s="618"/>
      <c r="O307" s="162">
        <f>SUM(O$287:O$288)/$L$7</f>
        <v>62.805673758865247</v>
      </c>
      <c r="P307" s="162">
        <f>SUM(P$287:P$288)/$M$7</f>
        <v>16.899999999999999</v>
      </c>
      <c r="Q307" s="162">
        <f>SUM(Q$287:Q$288)/$O$7</f>
        <v>7.0206321639458142</v>
      </c>
    </row>
    <row r="308" spans="3:17">
      <c r="C308" s="618" t="s">
        <v>26</v>
      </c>
      <c r="D308" s="618"/>
      <c r="E308" s="161"/>
      <c r="F308" s="161"/>
      <c r="G308" s="161"/>
      <c r="I308" s="98"/>
      <c r="J308" s="98"/>
      <c r="M308" s="618" t="s">
        <v>26</v>
      </c>
      <c r="N308" s="618"/>
      <c r="O308" s="161"/>
      <c r="P308" s="161"/>
      <c r="Q308" s="161"/>
    </row>
  </sheetData>
  <mergeCells count="145">
    <mergeCell ref="DY44:DZ44"/>
    <mergeCell ref="DY94:DZ94"/>
    <mergeCell ref="BC44:BP44"/>
    <mergeCell ref="BQ44:CD44"/>
    <mergeCell ref="CE44:CR44"/>
    <mergeCell ref="M44:Z44"/>
    <mergeCell ref="AA44:AN44"/>
    <mergeCell ref="AO44:BB44"/>
    <mergeCell ref="AA94:AN94"/>
    <mergeCell ref="AO94:BB94"/>
    <mergeCell ref="BC94:BP94"/>
    <mergeCell ref="BQ94:CD94"/>
    <mergeCell ref="CE94:CR94"/>
    <mergeCell ref="CX44:DA44"/>
    <mergeCell ref="DB44:DE44"/>
    <mergeCell ref="DF44:DI44"/>
    <mergeCell ref="DJ44:DM44"/>
    <mergeCell ref="DR44:DU44"/>
    <mergeCell ref="CX94:DA94"/>
    <mergeCell ref="DB94:DE94"/>
    <mergeCell ref="DF94:DI94"/>
    <mergeCell ref="DJ94:DM94"/>
    <mergeCell ref="DN94:DQ94"/>
    <mergeCell ref="DN44:DQ44"/>
    <mergeCell ref="C308:D308"/>
    <mergeCell ref="M308:N308"/>
    <mergeCell ref="B285:C286"/>
    <mergeCell ref="L285:M286"/>
    <mergeCell ref="B287:C288"/>
    <mergeCell ref="L287:M288"/>
    <mergeCell ref="B275:C276"/>
    <mergeCell ref="L275:M276"/>
    <mergeCell ref="B277:C278"/>
    <mergeCell ref="L277:M278"/>
    <mergeCell ref="B279:B284"/>
    <mergeCell ref="C279:C280"/>
    <mergeCell ref="L279:L284"/>
    <mergeCell ref="M279:M280"/>
    <mergeCell ref="C281:C282"/>
    <mergeCell ref="M281:M282"/>
    <mergeCell ref="C307:D307"/>
    <mergeCell ref="M307:N307"/>
    <mergeCell ref="S171:T172"/>
    <mergeCell ref="C295:D295"/>
    <mergeCell ref="M295:N295"/>
    <mergeCell ref="C296:D296"/>
    <mergeCell ref="M296:N296"/>
    <mergeCell ref="C297:D297"/>
    <mergeCell ref="M297:N297"/>
    <mergeCell ref="C283:C284"/>
    <mergeCell ref="M283:M284"/>
    <mergeCell ref="B267:C268"/>
    <mergeCell ref="E267:I268"/>
    <mergeCell ref="L267:M268"/>
    <mergeCell ref="O267:R268"/>
    <mergeCell ref="I178:K178"/>
    <mergeCell ref="V174:V175"/>
    <mergeCell ref="W174:W175"/>
    <mergeCell ref="X174:X175"/>
    <mergeCell ref="C301:D301"/>
    <mergeCell ref="M301:N301"/>
    <mergeCell ref="C306:D306"/>
    <mergeCell ref="M306:N306"/>
    <mergeCell ref="C298:D298"/>
    <mergeCell ref="M298:N298"/>
    <mergeCell ref="C299:D299"/>
    <mergeCell ref="M299:N299"/>
    <mergeCell ref="C300:D300"/>
    <mergeCell ref="M300:N300"/>
    <mergeCell ref="B269:C270"/>
    <mergeCell ref="L269:M270"/>
    <mergeCell ref="B271:C272"/>
    <mergeCell ref="L271:M272"/>
    <mergeCell ref="B273:C274"/>
    <mergeCell ref="L273:M274"/>
    <mergeCell ref="B266:C266"/>
    <mergeCell ref="L266:M266"/>
    <mergeCell ref="M94:Z94"/>
    <mergeCell ref="B178:B179"/>
    <mergeCell ref="C178:D178"/>
    <mergeCell ref="E178:F178"/>
    <mergeCell ref="G178:H178"/>
    <mergeCell ref="A29:B29"/>
    <mergeCell ref="K29:L29"/>
    <mergeCell ref="A30:B30"/>
    <mergeCell ref="K30:L30"/>
    <mergeCell ref="A38:B38"/>
    <mergeCell ref="K38:L38"/>
    <mergeCell ref="A39:B39"/>
    <mergeCell ref="K39:L39"/>
    <mergeCell ref="A40:B40"/>
    <mergeCell ref="K40:L40"/>
    <mergeCell ref="A31:B31"/>
    <mergeCell ref="K31:L31"/>
    <mergeCell ref="A32:B32"/>
    <mergeCell ref="K32:L32"/>
    <mergeCell ref="A33:B33"/>
    <mergeCell ref="K33:L33"/>
    <mergeCell ref="X171:X172"/>
    <mergeCell ref="S174:S175"/>
    <mergeCell ref="U174:U175"/>
    <mergeCell ref="A12:B12"/>
    <mergeCell ref="AF12:AG12"/>
    <mergeCell ref="A13:B13"/>
    <mergeCell ref="S13:S14"/>
    <mergeCell ref="AF13:AG13"/>
    <mergeCell ref="A14:B14"/>
    <mergeCell ref="AF14:AG14"/>
    <mergeCell ref="Q26:S26"/>
    <mergeCell ref="A28:B28"/>
    <mergeCell ref="K28:L28"/>
    <mergeCell ref="A21:B21"/>
    <mergeCell ref="AF21:AG21"/>
    <mergeCell ref="AF22:AG22"/>
    <mergeCell ref="A25:B27"/>
    <mergeCell ref="D25:I25"/>
    <mergeCell ref="K25:L27"/>
    <mergeCell ref="N25:S25"/>
    <mergeCell ref="D26:F26"/>
    <mergeCell ref="G26:I26"/>
    <mergeCell ref="N26:P26"/>
    <mergeCell ref="DR94:DU94"/>
    <mergeCell ref="AF7:AG9"/>
    <mergeCell ref="AI7:AN7"/>
    <mergeCell ref="AI8:AK8"/>
    <mergeCell ref="AL8:AN8"/>
    <mergeCell ref="A9:B9"/>
    <mergeCell ref="A10:B10"/>
    <mergeCell ref="AF10:AG10"/>
    <mergeCell ref="A6:B8"/>
    <mergeCell ref="D6:E6"/>
    <mergeCell ref="F6:H6"/>
    <mergeCell ref="S6:T6"/>
    <mergeCell ref="D7:E7"/>
    <mergeCell ref="F7:H7"/>
    <mergeCell ref="S7:S10"/>
    <mergeCell ref="S15:S16"/>
    <mergeCell ref="AF15:AG15"/>
    <mergeCell ref="S17:S18"/>
    <mergeCell ref="A19:B19"/>
    <mergeCell ref="A20:B20"/>
    <mergeCell ref="AF20:AG20"/>
    <mergeCell ref="A11:B11"/>
    <mergeCell ref="S11:S12"/>
    <mergeCell ref="AF11:AG1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P21"/>
  <sheetViews>
    <sheetView workbookViewId="0">
      <selection activeCell="G20" sqref="G20"/>
    </sheetView>
  </sheetViews>
  <sheetFormatPr defaultRowHeight="17"/>
  <cols>
    <col min="2" max="14" width="10.58203125" bestFit="1" customWidth="1"/>
  </cols>
  <sheetData>
    <row r="1" spans="1:16">
      <c r="A1" s="630" t="s">
        <v>434</v>
      </c>
      <c r="B1" s="223"/>
      <c r="C1" s="630" t="s">
        <v>435</v>
      </c>
      <c r="D1" s="631" t="s">
        <v>436</v>
      </c>
      <c r="E1" s="630" t="s">
        <v>437</v>
      </c>
      <c r="F1" s="630"/>
      <c r="G1" s="630"/>
      <c r="H1" s="630"/>
      <c r="I1" s="630"/>
      <c r="J1" s="630" t="s">
        <v>438</v>
      </c>
      <c r="K1" s="630"/>
      <c r="L1" s="631" t="s">
        <v>157</v>
      </c>
      <c r="M1" s="630" t="s">
        <v>439</v>
      </c>
      <c r="N1" s="630" t="s">
        <v>440</v>
      </c>
      <c r="O1" s="630" t="s">
        <v>441</v>
      </c>
      <c r="P1" s="630" t="s">
        <v>442</v>
      </c>
    </row>
    <row r="2" spans="1:16">
      <c r="A2" s="630"/>
      <c r="B2" s="223"/>
      <c r="C2" s="630"/>
      <c r="D2" s="631"/>
      <c r="E2" s="224" t="s">
        <v>443</v>
      </c>
      <c r="F2" s="224" t="s">
        <v>444</v>
      </c>
      <c r="G2" s="224" t="s">
        <v>445</v>
      </c>
      <c r="H2" s="436" t="s">
        <v>446</v>
      </c>
      <c r="I2" s="436" t="s">
        <v>447</v>
      </c>
      <c r="J2" s="224" t="s">
        <v>448</v>
      </c>
      <c r="K2" s="224" t="s">
        <v>449</v>
      </c>
      <c r="L2" s="631"/>
      <c r="M2" s="630"/>
      <c r="N2" s="630"/>
      <c r="O2" s="630"/>
      <c r="P2" s="630"/>
    </row>
    <row r="3" spans="1:16">
      <c r="A3" s="224" t="s">
        <v>452</v>
      </c>
      <c r="B3" s="198" t="s">
        <v>427</v>
      </c>
      <c r="C3" s="229">
        <f>ROUND(B14,4)*100</f>
        <v>0.27999999999999997</v>
      </c>
      <c r="D3" s="435">
        <f t="shared" ref="D3:O3" si="0">ROUND(C14,4)*100</f>
        <v>47.03</v>
      </c>
      <c r="E3" s="229">
        <f t="shared" si="0"/>
        <v>5.6899999999999995</v>
      </c>
      <c r="F3" s="229">
        <f t="shared" si="0"/>
        <v>9.17</v>
      </c>
      <c r="G3" s="229">
        <f t="shared" si="0"/>
        <v>0.91999999999999993</v>
      </c>
      <c r="H3" s="435">
        <f t="shared" si="0"/>
        <v>0.01</v>
      </c>
      <c r="I3" s="435">
        <f t="shared" si="0"/>
        <v>2.78</v>
      </c>
      <c r="J3" s="229">
        <f t="shared" si="0"/>
        <v>30.44</v>
      </c>
      <c r="K3" s="229">
        <f t="shared" si="0"/>
        <v>0.15</v>
      </c>
      <c r="L3" s="435">
        <f t="shared" si="0"/>
        <v>3.02</v>
      </c>
      <c r="M3" s="229">
        <f t="shared" si="0"/>
        <v>0.22999999999999998</v>
      </c>
      <c r="N3" s="229">
        <f t="shared" si="0"/>
        <v>0.1</v>
      </c>
      <c r="O3" s="229">
        <f t="shared" si="0"/>
        <v>0.18</v>
      </c>
      <c r="P3" s="229">
        <f>SUM(C3:O3)</f>
        <v>100</v>
      </c>
    </row>
    <row r="4" spans="1:16">
      <c r="A4" s="224" t="s">
        <v>450</v>
      </c>
      <c r="B4" s="224" t="s">
        <v>456</v>
      </c>
      <c r="C4" s="229">
        <f t="shared" ref="C4:O4" si="1">ROUND(B15,4)*100</f>
        <v>30.44</v>
      </c>
      <c r="D4" s="435">
        <f t="shared" si="1"/>
        <v>32.07</v>
      </c>
      <c r="E4" s="229">
        <f t="shared" si="1"/>
        <v>7.7700000000000005</v>
      </c>
      <c r="F4" s="229">
        <f t="shared" si="1"/>
        <v>0.95</v>
      </c>
      <c r="G4" s="229">
        <f t="shared" si="1"/>
        <v>11.709999999999999</v>
      </c>
      <c r="H4" s="435">
        <f t="shared" si="1"/>
        <v>0</v>
      </c>
      <c r="I4" s="435">
        <f t="shared" si="1"/>
        <v>3.4799999999999995</v>
      </c>
      <c r="J4" s="229">
        <f t="shared" si="1"/>
        <v>4.71</v>
      </c>
      <c r="K4" s="229">
        <f t="shared" si="1"/>
        <v>0</v>
      </c>
      <c r="L4" s="435">
        <f t="shared" si="1"/>
        <v>4.62</v>
      </c>
      <c r="M4" s="229">
        <f t="shared" si="1"/>
        <v>0.67</v>
      </c>
      <c r="N4" s="229">
        <f t="shared" si="1"/>
        <v>2.5</v>
      </c>
      <c r="O4" s="229">
        <f t="shared" si="1"/>
        <v>1.08</v>
      </c>
      <c r="P4" s="229">
        <f>SUM(C4:O4)</f>
        <v>100</v>
      </c>
    </row>
    <row r="5" spans="1:16">
      <c r="A5" s="224" t="s">
        <v>451</v>
      </c>
      <c r="B5" s="198" t="s">
        <v>429</v>
      </c>
      <c r="C5" s="229">
        <f t="shared" ref="C5:O5" si="2">ROUND(B16,4)*100</f>
        <v>0.06</v>
      </c>
      <c r="D5" s="435">
        <f t="shared" si="2"/>
        <v>73.28</v>
      </c>
      <c r="E5" s="229">
        <f t="shared" si="2"/>
        <v>9.85</v>
      </c>
      <c r="F5" s="229">
        <f t="shared" si="2"/>
        <v>2.1</v>
      </c>
      <c r="G5" s="229">
        <f t="shared" si="2"/>
        <v>0.65</v>
      </c>
      <c r="H5" s="435">
        <f t="shared" si="2"/>
        <v>6.9999999999999993E-2</v>
      </c>
      <c r="I5" s="435">
        <f t="shared" si="2"/>
        <v>2.77</v>
      </c>
      <c r="J5" s="229">
        <f t="shared" si="2"/>
        <v>6.2700000000000005</v>
      </c>
      <c r="K5" s="229">
        <f t="shared" si="2"/>
        <v>0.02</v>
      </c>
      <c r="L5" s="435">
        <f t="shared" si="2"/>
        <v>2.5499999999999998</v>
      </c>
      <c r="M5" s="229">
        <f t="shared" si="2"/>
        <v>0.67</v>
      </c>
      <c r="N5" s="229">
        <f t="shared" si="2"/>
        <v>0.16999999999999998</v>
      </c>
      <c r="O5" s="229">
        <f t="shared" si="2"/>
        <v>1.54</v>
      </c>
      <c r="P5" s="229">
        <f t="shared" ref="P5:P8" si="3">SUM(C5:O5)</f>
        <v>99.999999999999986</v>
      </c>
    </row>
    <row r="6" spans="1:16">
      <c r="A6" s="224" t="s">
        <v>453</v>
      </c>
      <c r="B6" s="198" t="s">
        <v>430</v>
      </c>
      <c r="C6" s="229">
        <f t="shared" ref="C6:O6" si="4">ROUND(B17,4)*100</f>
        <v>0</v>
      </c>
      <c r="D6" s="435">
        <f t="shared" si="4"/>
        <v>82.809999999999988</v>
      </c>
      <c r="E6" s="229">
        <f t="shared" si="4"/>
        <v>0.43</v>
      </c>
      <c r="F6" s="229">
        <f t="shared" si="4"/>
        <v>1.22</v>
      </c>
      <c r="G6" s="229">
        <f t="shared" si="4"/>
        <v>0</v>
      </c>
      <c r="H6" s="435">
        <f t="shared" si="4"/>
        <v>5.3100000000000005</v>
      </c>
      <c r="I6" s="435">
        <f t="shared" si="4"/>
        <v>3.54</v>
      </c>
      <c r="J6" s="229">
        <f t="shared" si="4"/>
        <v>4.9399999999999995</v>
      </c>
      <c r="K6" s="229">
        <f t="shared" si="4"/>
        <v>0</v>
      </c>
      <c r="L6" s="435">
        <f t="shared" si="4"/>
        <v>0.76</v>
      </c>
      <c r="M6" s="229">
        <f t="shared" si="4"/>
        <v>0.91</v>
      </c>
      <c r="N6" s="229">
        <f t="shared" si="4"/>
        <v>0</v>
      </c>
      <c r="O6" s="229">
        <f t="shared" si="4"/>
        <v>0.08</v>
      </c>
      <c r="P6" s="229">
        <f t="shared" si="3"/>
        <v>100</v>
      </c>
    </row>
    <row r="7" spans="1:16">
      <c r="A7" s="224" t="s">
        <v>454</v>
      </c>
      <c r="B7" s="198" t="s">
        <v>431</v>
      </c>
      <c r="C7" s="229">
        <f t="shared" ref="C7:O7" si="5">ROUND(B18,4)*100</f>
        <v>0</v>
      </c>
      <c r="D7" s="435">
        <f t="shared" si="5"/>
        <v>61.28</v>
      </c>
      <c r="E7" s="229">
        <f t="shared" si="5"/>
        <v>2.9899999999999998</v>
      </c>
      <c r="F7" s="229">
        <f t="shared" si="5"/>
        <v>1</v>
      </c>
      <c r="G7" s="229">
        <f t="shared" si="5"/>
        <v>0.42</v>
      </c>
      <c r="H7" s="435">
        <f t="shared" si="5"/>
        <v>5.59</v>
      </c>
      <c r="I7" s="435">
        <f t="shared" si="5"/>
        <v>18.670000000000002</v>
      </c>
      <c r="J7" s="229">
        <f t="shared" si="5"/>
        <v>0.02</v>
      </c>
      <c r="K7" s="229">
        <f t="shared" si="5"/>
        <v>7.7</v>
      </c>
      <c r="L7" s="435">
        <f t="shared" si="5"/>
        <v>6.9999999999999993E-2</v>
      </c>
      <c r="M7" s="229">
        <f t="shared" si="5"/>
        <v>1.87</v>
      </c>
      <c r="N7" s="229">
        <f t="shared" si="5"/>
        <v>0.38999999999999996</v>
      </c>
      <c r="O7" s="229">
        <f t="shared" si="5"/>
        <v>0</v>
      </c>
      <c r="P7" s="229">
        <f t="shared" si="3"/>
        <v>100</v>
      </c>
    </row>
    <row r="8" spans="1:16">
      <c r="A8" s="224" t="s">
        <v>455</v>
      </c>
      <c r="B8" s="224"/>
      <c r="C8" s="229">
        <f t="shared" ref="C8:N8" si="6">ROUND(B19,4)*100</f>
        <v>16.97</v>
      </c>
      <c r="D8" s="435">
        <f t="shared" si="6"/>
        <v>44.06</v>
      </c>
      <c r="E8" s="229">
        <f t="shared" si="6"/>
        <v>7.31</v>
      </c>
      <c r="F8" s="229">
        <f t="shared" si="6"/>
        <v>3.17</v>
      </c>
      <c r="G8" s="229">
        <f t="shared" si="6"/>
        <v>6.83</v>
      </c>
      <c r="H8" s="435">
        <f t="shared" si="6"/>
        <v>0.22999999999999998</v>
      </c>
      <c r="I8" s="435">
        <f t="shared" si="6"/>
        <v>3.37</v>
      </c>
      <c r="J8" s="229">
        <f t="shared" si="6"/>
        <v>11.27</v>
      </c>
      <c r="K8" s="229">
        <f t="shared" si="6"/>
        <v>0.13</v>
      </c>
      <c r="L8" s="435">
        <f t="shared" si="6"/>
        <v>3.74</v>
      </c>
      <c r="M8" s="229">
        <f t="shared" si="6"/>
        <v>0.57999999999999996</v>
      </c>
      <c r="N8" s="229">
        <f t="shared" si="6"/>
        <v>1.44</v>
      </c>
      <c r="O8" s="229">
        <f>ROUND(N19,4)*100 + 0.01</f>
        <v>0.9</v>
      </c>
      <c r="P8" s="229">
        <f t="shared" si="3"/>
        <v>100</v>
      </c>
    </row>
    <row r="10" spans="1:16">
      <c r="B10" s="194"/>
      <c r="C10" s="194"/>
      <c r="D10" s="194"/>
      <c r="E10" s="194"/>
      <c r="F10" s="194"/>
    </row>
    <row r="12" spans="1:16">
      <c r="A12" t="s">
        <v>1</v>
      </c>
      <c r="B12" t="s">
        <v>473</v>
      </c>
      <c r="C12" t="s">
        <v>156</v>
      </c>
      <c r="D12" t="s">
        <v>158</v>
      </c>
      <c r="I12" t="s">
        <v>489</v>
      </c>
      <c r="K12" t="s">
        <v>157</v>
      </c>
      <c r="L12" t="s">
        <v>474</v>
      </c>
      <c r="M12" t="s">
        <v>475</v>
      </c>
      <c r="N12" t="s">
        <v>46</v>
      </c>
      <c r="O12" t="s">
        <v>11</v>
      </c>
    </row>
    <row r="13" spans="1:16">
      <c r="D13" t="s">
        <v>476</v>
      </c>
      <c r="E13" t="s">
        <v>477</v>
      </c>
      <c r="F13" t="s">
        <v>478</v>
      </c>
      <c r="G13" t="s">
        <v>479</v>
      </c>
      <c r="H13" t="s">
        <v>480</v>
      </c>
      <c r="I13" t="s">
        <v>481</v>
      </c>
      <c r="J13" t="s">
        <v>449</v>
      </c>
    </row>
    <row r="14" spans="1:16">
      <c r="A14" t="s">
        <v>464</v>
      </c>
      <c r="B14" s="228">
        <v>2.7740423825669031E-3</v>
      </c>
      <c r="C14" s="228">
        <v>0.47032974826315488</v>
      </c>
      <c r="D14" s="228">
        <v>5.6916966937888183E-2</v>
      </c>
      <c r="E14" s="228">
        <v>9.1698875926385592E-2</v>
      </c>
      <c r="F14" s="228">
        <v>9.1867991587859677E-3</v>
      </c>
      <c r="G14" s="228">
        <v>7.7738650838895507E-5</v>
      </c>
      <c r="H14" s="228">
        <v>2.7803160280731997E-2</v>
      </c>
      <c r="I14" s="228">
        <v>0.30440682681737963</v>
      </c>
      <c r="J14" s="228">
        <v>1.4824897098575337E-3</v>
      </c>
      <c r="K14" s="228">
        <v>3.0244426684269243E-2</v>
      </c>
      <c r="L14" s="228">
        <v>2.2653315621650079E-3</v>
      </c>
      <c r="M14" s="228">
        <v>1.0392430164778664E-3</v>
      </c>
      <c r="N14" s="228">
        <v>1.7729867735186695E-3</v>
      </c>
      <c r="O14">
        <v>1</v>
      </c>
    </row>
    <row r="15" spans="1:16">
      <c r="A15" t="s">
        <v>468</v>
      </c>
      <c r="B15" s="228">
        <v>0.30439310892028199</v>
      </c>
      <c r="C15" s="228">
        <v>0.32066381514347297</v>
      </c>
      <c r="D15" s="228">
        <v>7.7684247006356649E-2</v>
      </c>
      <c r="E15" s="228">
        <v>9.4787306161782901E-3</v>
      </c>
      <c r="F15" s="228">
        <v>0.11709667514827617</v>
      </c>
      <c r="G15" s="228">
        <v>6.0800068096076265E-7</v>
      </c>
      <c r="H15" s="228">
        <v>3.481898299726096E-2</v>
      </c>
      <c r="I15" s="228">
        <v>4.7139508796249854E-2</v>
      </c>
      <c r="J15" s="228">
        <v>0</v>
      </c>
      <c r="K15" s="228">
        <v>4.6234195782299273E-2</v>
      </c>
      <c r="L15" s="228">
        <v>6.6904394932922329E-3</v>
      </c>
      <c r="M15" s="228">
        <v>2.4971195967739484E-2</v>
      </c>
      <c r="N15" s="228">
        <v>1.0829708129273105E-2</v>
      </c>
      <c r="O15">
        <v>1</v>
      </c>
    </row>
    <row r="16" spans="1:16">
      <c r="A16" t="s">
        <v>465</v>
      </c>
      <c r="B16" s="228">
        <v>5.7912573463171895E-4</v>
      </c>
      <c r="C16" s="228">
        <v>0.73282141478272056</v>
      </c>
      <c r="D16" s="228">
        <v>9.8498562910214069E-2</v>
      </c>
      <c r="E16" s="228">
        <v>2.104585817854232E-2</v>
      </c>
      <c r="F16" s="228">
        <v>6.5226717000557675E-3</v>
      </c>
      <c r="G16" s="228">
        <v>6.7350178027540642E-4</v>
      </c>
      <c r="H16" s="228">
        <v>2.7662905924241775E-2</v>
      </c>
      <c r="I16" s="228">
        <v>6.2678563768178111E-2</v>
      </c>
      <c r="J16" s="228">
        <v>2.2736047359615632E-4</v>
      </c>
      <c r="K16" s="228">
        <v>2.5498691604821759E-2</v>
      </c>
      <c r="L16" s="228">
        <v>6.6921196001887518E-3</v>
      </c>
      <c r="M16" s="228">
        <v>1.7073484620994379E-3</v>
      </c>
      <c r="N16" s="228">
        <v>1.5394019990562396E-2</v>
      </c>
      <c r="O16">
        <v>1</v>
      </c>
    </row>
    <row r="17" spans="1:15">
      <c r="A17" t="s">
        <v>466</v>
      </c>
      <c r="B17" s="228">
        <v>0</v>
      </c>
      <c r="C17" s="228">
        <v>0.82808694240181868</v>
      </c>
      <c r="D17" s="228">
        <v>4.3146442738175323E-3</v>
      </c>
      <c r="E17" s="228">
        <v>1.2224825442483008E-2</v>
      </c>
      <c r="F17" s="228">
        <v>0</v>
      </c>
      <c r="G17" s="228">
        <v>5.3086362476513028E-2</v>
      </c>
      <c r="H17" s="228">
        <v>3.5352246630633972E-2</v>
      </c>
      <c r="I17" s="228">
        <v>4.9374840520540954E-2</v>
      </c>
      <c r="J17" s="228">
        <v>0</v>
      </c>
      <c r="K17" s="228">
        <v>7.6086200097427448E-3</v>
      </c>
      <c r="L17" s="228">
        <v>9.0584332737943356E-3</v>
      </c>
      <c r="M17" s="228">
        <v>0</v>
      </c>
      <c r="N17" s="228">
        <v>8.0468347676819203E-4</v>
      </c>
      <c r="O17">
        <v>1</v>
      </c>
    </row>
    <row r="18" spans="1:15">
      <c r="A18" t="s">
        <v>467</v>
      </c>
      <c r="B18" s="228">
        <v>0</v>
      </c>
      <c r="C18" s="228">
        <v>0.61278404925963936</v>
      </c>
      <c r="D18" s="228">
        <v>2.9878316962322241E-2</v>
      </c>
      <c r="E18" s="228">
        <v>1.0027855153203343E-2</v>
      </c>
      <c r="F18" s="228">
        <v>4.1929335874505208E-3</v>
      </c>
      <c r="G18" s="228">
        <v>5.5856912476176517E-2</v>
      </c>
      <c r="H18" s="228">
        <v>0.18674681131798856</v>
      </c>
      <c r="I18" s="228">
        <v>2.3456971118604309E-4</v>
      </c>
      <c r="J18" s="228">
        <v>7.6997507696818651E-2</v>
      </c>
      <c r="K18" s="228">
        <v>7.330303474563847E-4</v>
      </c>
      <c r="L18" s="228">
        <v>1.8677613253188681E-2</v>
      </c>
      <c r="M18" s="228">
        <v>3.8704002345697113E-3</v>
      </c>
      <c r="N18" s="228">
        <v>0</v>
      </c>
      <c r="O18">
        <v>1</v>
      </c>
    </row>
    <row r="19" spans="1:15">
      <c r="A19" t="s">
        <v>11</v>
      </c>
      <c r="B19" s="228">
        <v>0.16965710609839155</v>
      </c>
      <c r="C19" s="228">
        <v>0.44061854550324286</v>
      </c>
      <c r="D19" s="228">
        <v>7.313704860477456E-2</v>
      </c>
      <c r="E19" s="228">
        <v>3.1719988139664555E-2</v>
      </c>
      <c r="F19" s="228">
        <v>6.8312631156048756E-2</v>
      </c>
      <c r="G19" s="228">
        <v>2.3120232969910978E-3</v>
      </c>
      <c r="H19" s="228">
        <v>3.3721672739072957E-2</v>
      </c>
      <c r="I19" s="228">
        <v>0.11273997698771092</v>
      </c>
      <c r="J19" s="228">
        <v>1.2882429196394809E-3</v>
      </c>
      <c r="K19" s="228">
        <v>3.7371188357711228E-2</v>
      </c>
      <c r="L19" s="228">
        <v>5.8029963201251611E-3</v>
      </c>
      <c r="M19" s="228">
        <v>1.4424340268841016E-2</v>
      </c>
      <c r="N19" s="228">
        <v>8.894576932457144E-3</v>
      </c>
      <c r="O19">
        <v>1</v>
      </c>
    </row>
    <row r="21" spans="1:15" ht="23">
      <c r="A21" s="226" t="s">
        <v>826</v>
      </c>
      <c r="B21" s="227"/>
      <c r="C21" s="227"/>
      <c r="D21" s="227"/>
      <c r="E21" s="227"/>
      <c r="F21" s="227"/>
      <c r="G21" s="227"/>
      <c r="H21" s="227"/>
      <c r="I21" s="227"/>
      <c r="J21" s="227"/>
    </row>
  </sheetData>
  <mergeCells count="10">
    <mergeCell ref="M1:M2"/>
    <mergeCell ref="N1:N2"/>
    <mergeCell ref="O1:O2"/>
    <mergeCell ref="P1:P2"/>
    <mergeCell ref="A1:A2"/>
    <mergeCell ref="C1:C2"/>
    <mergeCell ref="D1:D2"/>
    <mergeCell ref="E1:I1"/>
    <mergeCell ref="J1:K1"/>
    <mergeCell ref="L1:L2"/>
  </mergeCells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J52" sqref="J5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'A.일산테크노밸리(859991)_수정'!EH91</f>
        <v>10425.519661414821</v>
      </c>
      <c r="C2" s="411">
        <f>'E.관광문화단지(849301)_수정'!EQ17+'C.장항공공주택지구(849992)'!EY137+'B.고양영상밸리(849991)_수정'!EQ82</f>
        <v>18206.432747945473</v>
      </c>
    </row>
  </sheetData>
  <phoneticPr fontId="2" type="noConversion"/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O38"/>
  <sheetViews>
    <sheetView workbookViewId="0">
      <selection activeCell="K12" sqref="K12"/>
    </sheetView>
  </sheetViews>
  <sheetFormatPr defaultRowHeight="17"/>
  <cols>
    <col min="11" max="11" width="32.5" bestFit="1" customWidth="1"/>
    <col min="14" max="14" width="9.5" bestFit="1" customWidth="1"/>
  </cols>
  <sheetData>
    <row r="1" spans="1:15" ht="30.5" thickBot="1">
      <c r="A1" s="254" t="s">
        <v>535</v>
      </c>
      <c r="K1" s="254" t="s">
        <v>553</v>
      </c>
    </row>
    <row r="2" spans="1:15" ht="17.5" customHeight="1" thickTop="1">
      <c r="A2" s="632" t="s">
        <v>1</v>
      </c>
      <c r="B2" s="636" t="s">
        <v>528</v>
      </c>
      <c r="C2" s="637"/>
      <c r="D2" s="634" t="s">
        <v>529</v>
      </c>
      <c r="E2" s="635"/>
      <c r="F2" s="635"/>
      <c r="G2" s="635"/>
      <c r="H2" s="635"/>
    </row>
    <row r="3" spans="1:15" ht="17.5" thickBot="1">
      <c r="A3" s="633"/>
      <c r="B3" s="636"/>
      <c r="C3" s="637"/>
      <c r="D3" s="247" t="s">
        <v>530</v>
      </c>
      <c r="E3" s="247" t="s">
        <v>531</v>
      </c>
      <c r="F3" s="247" t="s">
        <v>532</v>
      </c>
      <c r="G3" s="247" t="s">
        <v>533</v>
      </c>
      <c r="H3" s="248" t="s">
        <v>534</v>
      </c>
      <c r="M3" t="s">
        <v>537</v>
      </c>
    </row>
    <row r="4" spans="1:15" ht="26" thickTop="1" thickBot="1">
      <c r="A4" s="232"/>
      <c r="B4" s="19"/>
      <c r="C4" s="19"/>
      <c r="D4" s="232" t="s">
        <v>556</v>
      </c>
      <c r="E4" s="232" t="s">
        <v>557</v>
      </c>
      <c r="F4" s="232" t="s">
        <v>558</v>
      </c>
      <c r="G4" s="232" t="s">
        <v>559</v>
      </c>
      <c r="H4" s="19" t="s">
        <v>560</v>
      </c>
      <c r="K4" s="235" t="s">
        <v>1</v>
      </c>
      <c r="L4" s="257" t="s">
        <v>476</v>
      </c>
      <c r="M4" s="257" t="s">
        <v>479</v>
      </c>
      <c r="N4" s="257" t="s">
        <v>480</v>
      </c>
      <c r="O4" s="249" t="s">
        <v>157</v>
      </c>
    </row>
    <row r="5" spans="1:15" ht="17.5" thickTop="1">
      <c r="A5" s="231" t="s">
        <v>494</v>
      </c>
      <c r="B5" s="235" t="s">
        <v>497</v>
      </c>
      <c r="C5" s="236">
        <v>8</v>
      </c>
      <c r="D5" s="237">
        <v>1.06</v>
      </c>
      <c r="E5" s="237">
        <v>1.31</v>
      </c>
      <c r="F5" s="237">
        <v>1.1399999999999999</v>
      </c>
      <c r="G5" s="237">
        <v>1.32</v>
      </c>
      <c r="H5" s="238">
        <v>1.28</v>
      </c>
      <c r="K5" s="192" t="s">
        <v>538</v>
      </c>
      <c r="L5" s="255">
        <v>19.27</v>
      </c>
      <c r="M5" s="255">
        <v>27.9</v>
      </c>
      <c r="N5" s="255">
        <v>27.9</v>
      </c>
      <c r="O5" s="256">
        <v>1.47</v>
      </c>
    </row>
    <row r="6" spans="1:15">
      <c r="A6" s="232" t="s">
        <v>495</v>
      </c>
      <c r="B6" s="239" t="s">
        <v>498</v>
      </c>
      <c r="C6" s="240">
        <v>9</v>
      </c>
      <c r="D6" s="241">
        <v>1.0900000000000001</v>
      </c>
      <c r="E6" s="241">
        <v>1.34</v>
      </c>
      <c r="F6" s="241">
        <v>1.23</v>
      </c>
      <c r="G6" s="241">
        <v>1.32</v>
      </c>
      <c r="H6" s="242">
        <v>1.33</v>
      </c>
      <c r="K6" s="192" t="s">
        <v>539</v>
      </c>
      <c r="L6" s="255">
        <v>19.63</v>
      </c>
      <c r="M6" s="255">
        <v>26.96</v>
      </c>
      <c r="N6" s="255">
        <v>26.96</v>
      </c>
      <c r="O6" s="256">
        <v>1.48</v>
      </c>
    </row>
    <row r="7" spans="1:15">
      <c r="A7" s="232" t="s">
        <v>496</v>
      </c>
      <c r="B7" s="239" t="s">
        <v>499</v>
      </c>
      <c r="C7" s="240">
        <v>10</v>
      </c>
      <c r="D7" s="241">
        <v>1.1100000000000001</v>
      </c>
      <c r="E7" s="241">
        <v>1.06</v>
      </c>
      <c r="F7" s="241">
        <v>1.19</v>
      </c>
      <c r="G7" s="241">
        <v>1.35</v>
      </c>
      <c r="H7" s="242">
        <v>1.47</v>
      </c>
      <c r="K7" s="192" t="s">
        <v>540</v>
      </c>
      <c r="L7" s="255">
        <v>16</v>
      </c>
      <c r="M7" s="255">
        <v>28.3</v>
      </c>
      <c r="N7" s="255">
        <v>28.3</v>
      </c>
      <c r="O7" s="256">
        <v>1.48</v>
      </c>
    </row>
    <row r="8" spans="1:15">
      <c r="A8" s="233"/>
      <c r="B8" s="239" t="s">
        <v>500</v>
      </c>
      <c r="C8" s="240">
        <v>11</v>
      </c>
      <c r="D8" s="241">
        <v>1.1000000000000001</v>
      </c>
      <c r="E8" s="241">
        <v>1.0900000000000001</v>
      </c>
      <c r="F8" s="241">
        <v>1.17</v>
      </c>
      <c r="G8" s="241">
        <v>1.23</v>
      </c>
      <c r="H8" s="242">
        <v>1.29</v>
      </c>
      <c r="K8" s="192" t="s">
        <v>541</v>
      </c>
      <c r="L8" s="255">
        <v>11.37</v>
      </c>
      <c r="M8" s="255">
        <v>25.59</v>
      </c>
      <c r="N8" s="255">
        <v>25.59</v>
      </c>
      <c r="O8" s="256">
        <v>1.49</v>
      </c>
    </row>
    <row r="9" spans="1:15">
      <c r="A9" s="233"/>
      <c r="B9" s="239" t="s">
        <v>501</v>
      </c>
      <c r="C9" s="240">
        <v>12</v>
      </c>
      <c r="D9" s="241">
        <v>1.1200000000000001</v>
      </c>
      <c r="E9" s="241">
        <v>1.19</v>
      </c>
      <c r="F9" s="241">
        <v>1.1499999999999999</v>
      </c>
      <c r="G9" s="241">
        <v>1.26</v>
      </c>
      <c r="H9" s="242">
        <v>1.27</v>
      </c>
      <c r="K9" s="192" t="s">
        <v>542</v>
      </c>
      <c r="L9" s="255">
        <v>19.16</v>
      </c>
      <c r="M9" s="255">
        <v>27.47</v>
      </c>
      <c r="N9" s="255">
        <v>27.47</v>
      </c>
      <c r="O9" s="256">
        <v>1.48</v>
      </c>
    </row>
    <row r="10" spans="1:15">
      <c r="A10" s="233"/>
      <c r="B10" s="239" t="s">
        <v>502</v>
      </c>
      <c r="C10" s="240">
        <v>13</v>
      </c>
      <c r="D10" s="241">
        <v>1.0900000000000001</v>
      </c>
      <c r="E10" s="241">
        <v>1.1499999999999999</v>
      </c>
      <c r="F10" s="241">
        <v>1.18</v>
      </c>
      <c r="G10" s="241">
        <v>1.3</v>
      </c>
      <c r="H10" s="242">
        <v>1.29</v>
      </c>
      <c r="K10" s="192" t="s">
        <v>543</v>
      </c>
      <c r="L10" s="255">
        <v>20.71</v>
      </c>
      <c r="M10" s="255">
        <v>28.64</v>
      </c>
      <c r="N10" s="255">
        <v>28.64</v>
      </c>
      <c r="O10" s="256">
        <v>1.48</v>
      </c>
    </row>
    <row r="11" spans="1:15">
      <c r="A11" s="233"/>
      <c r="B11" s="239" t="s">
        <v>503</v>
      </c>
      <c r="C11" s="240">
        <v>14</v>
      </c>
      <c r="D11" s="241">
        <v>1.2</v>
      </c>
      <c r="E11" s="241">
        <v>1.49</v>
      </c>
      <c r="F11" s="241">
        <v>1.1499999999999999</v>
      </c>
      <c r="G11" s="241">
        <v>1.46</v>
      </c>
      <c r="H11" s="242">
        <v>1.34</v>
      </c>
      <c r="K11" s="192" t="s">
        <v>544</v>
      </c>
      <c r="L11" s="255">
        <v>16.72</v>
      </c>
      <c r="M11" s="255">
        <v>28.08</v>
      </c>
      <c r="N11" s="255">
        <v>28.08</v>
      </c>
      <c r="O11" s="256">
        <v>1.48</v>
      </c>
    </row>
    <row r="12" spans="1:15">
      <c r="A12" s="233"/>
      <c r="B12" s="239" t="s">
        <v>504</v>
      </c>
      <c r="C12" s="240">
        <v>15</v>
      </c>
      <c r="D12" s="241">
        <v>1.1000000000000001</v>
      </c>
      <c r="E12" s="241">
        <v>1.1000000000000001</v>
      </c>
      <c r="F12" s="241">
        <v>1.21</v>
      </c>
      <c r="G12" s="241">
        <v>1.43</v>
      </c>
      <c r="H12" s="242">
        <v>1.31</v>
      </c>
      <c r="K12" s="260" t="s">
        <v>536</v>
      </c>
      <c r="L12" s="261">
        <v>11.58</v>
      </c>
      <c r="M12" s="261">
        <v>28.79</v>
      </c>
      <c r="N12" s="261">
        <v>28.79</v>
      </c>
      <c r="O12" s="262">
        <v>1.5</v>
      </c>
    </row>
    <row r="13" spans="1:15">
      <c r="A13" s="233"/>
      <c r="B13" s="239" t="s">
        <v>505</v>
      </c>
      <c r="C13" s="240">
        <v>16</v>
      </c>
      <c r="D13" s="241">
        <v>1.1299999999999999</v>
      </c>
      <c r="E13" s="241">
        <v>1.1599999999999999</v>
      </c>
      <c r="F13" s="241">
        <v>1.1499999999999999</v>
      </c>
      <c r="G13" s="241">
        <v>1.29</v>
      </c>
      <c r="H13" s="242">
        <v>1.26</v>
      </c>
      <c r="K13" s="192" t="s">
        <v>545</v>
      </c>
      <c r="L13" s="255">
        <v>12.41</v>
      </c>
      <c r="M13" s="255">
        <v>26.99</v>
      </c>
      <c r="N13" s="255">
        <v>26.99</v>
      </c>
      <c r="O13" s="256">
        <v>1.48</v>
      </c>
    </row>
    <row r="14" spans="1:15">
      <c r="A14" s="233"/>
      <c r="B14" s="250" t="s">
        <v>506</v>
      </c>
      <c r="C14" s="251">
        <v>17</v>
      </c>
      <c r="D14" s="252">
        <v>1.1200000000000001</v>
      </c>
      <c r="E14" s="252">
        <v>1.36</v>
      </c>
      <c r="F14" s="252">
        <v>1.3</v>
      </c>
      <c r="G14" s="252">
        <v>1.26</v>
      </c>
      <c r="H14" s="253">
        <v>1.41</v>
      </c>
      <c r="K14" s="192" t="s">
        <v>546</v>
      </c>
      <c r="L14" s="255">
        <v>13.52</v>
      </c>
      <c r="M14" s="255">
        <v>27.3</v>
      </c>
      <c r="N14" s="255">
        <v>27.3</v>
      </c>
      <c r="O14" s="256">
        <v>1.48</v>
      </c>
    </row>
    <row r="15" spans="1:15">
      <c r="A15" s="233"/>
      <c r="B15" s="239" t="s">
        <v>507</v>
      </c>
      <c r="C15" s="240">
        <v>18</v>
      </c>
      <c r="D15" s="241">
        <v>1.1000000000000001</v>
      </c>
      <c r="E15" s="241">
        <v>1.51</v>
      </c>
      <c r="F15" s="241">
        <v>1.19</v>
      </c>
      <c r="G15" s="241">
        <v>1.33</v>
      </c>
      <c r="H15" s="242">
        <v>1.31</v>
      </c>
      <c r="K15" s="192" t="s">
        <v>547</v>
      </c>
      <c r="L15" s="255">
        <v>10.4</v>
      </c>
      <c r="M15" s="255">
        <v>28.96</v>
      </c>
      <c r="N15" s="255">
        <v>28.96</v>
      </c>
      <c r="O15" s="256">
        <v>1.48</v>
      </c>
    </row>
    <row r="16" spans="1:15">
      <c r="A16" s="233"/>
      <c r="B16" s="239" t="s">
        <v>508</v>
      </c>
      <c r="C16" s="240">
        <v>19</v>
      </c>
      <c r="D16" s="241">
        <v>1.06</v>
      </c>
      <c r="E16" s="241">
        <v>1</v>
      </c>
      <c r="F16" s="241">
        <v>1.1599999999999999</v>
      </c>
      <c r="G16" s="241">
        <v>1.32</v>
      </c>
      <c r="H16" s="242">
        <v>1.47</v>
      </c>
      <c r="K16" s="192" t="s">
        <v>548</v>
      </c>
      <c r="L16" s="255">
        <v>12.02</v>
      </c>
      <c r="M16" s="255">
        <v>27.65</v>
      </c>
      <c r="N16" s="255">
        <v>27.65</v>
      </c>
      <c r="O16" s="256">
        <v>1.48</v>
      </c>
    </row>
    <row r="17" spans="1:15">
      <c r="A17" s="233"/>
      <c r="B17" s="239" t="s">
        <v>509</v>
      </c>
      <c r="C17" s="240">
        <v>20</v>
      </c>
      <c r="D17" s="241">
        <v>1.0900000000000001</v>
      </c>
      <c r="E17" s="241">
        <v>1.1200000000000001</v>
      </c>
      <c r="F17" s="241">
        <v>1.23</v>
      </c>
      <c r="G17" s="241">
        <v>1.35</v>
      </c>
      <c r="H17" s="242">
        <v>1.36</v>
      </c>
      <c r="K17" s="192" t="s">
        <v>549</v>
      </c>
      <c r="L17" s="255">
        <v>17.25</v>
      </c>
      <c r="M17" s="255">
        <v>27.63</v>
      </c>
      <c r="N17" s="255">
        <v>27.63</v>
      </c>
      <c r="O17" s="256">
        <v>1.48</v>
      </c>
    </row>
    <row r="18" spans="1:15">
      <c r="A18" s="233"/>
      <c r="B18" s="239" t="s">
        <v>510</v>
      </c>
      <c r="C18" s="240">
        <v>21</v>
      </c>
      <c r="D18" s="241">
        <v>1.1399999999999999</v>
      </c>
      <c r="E18" s="241">
        <v>1.01</v>
      </c>
      <c r="F18" s="241">
        <v>1.1499999999999999</v>
      </c>
      <c r="G18" s="241">
        <v>1.3</v>
      </c>
      <c r="H18" s="242">
        <v>1.55</v>
      </c>
      <c r="K18" s="192" t="s">
        <v>550</v>
      </c>
      <c r="L18" s="255">
        <v>8.44</v>
      </c>
      <c r="M18" s="255">
        <v>28.73</v>
      </c>
      <c r="N18" s="255">
        <v>28.73</v>
      </c>
      <c r="O18" s="256">
        <v>1.48</v>
      </c>
    </row>
    <row r="19" spans="1:15">
      <c r="A19" s="233"/>
      <c r="B19" s="239" t="s">
        <v>511</v>
      </c>
      <c r="C19" s="240">
        <v>16</v>
      </c>
      <c r="D19" s="241">
        <v>1.1299999999999999</v>
      </c>
      <c r="E19" s="241">
        <v>1.1599999999999999</v>
      </c>
      <c r="F19" s="241">
        <v>1.1499999999999999</v>
      </c>
      <c r="G19" s="241">
        <v>1.19</v>
      </c>
      <c r="H19" s="242">
        <v>1.26</v>
      </c>
      <c r="K19" s="192" t="s">
        <v>551</v>
      </c>
      <c r="L19" s="255">
        <v>10.33</v>
      </c>
      <c r="M19" s="255">
        <v>28.16</v>
      </c>
      <c r="N19" s="255">
        <v>28.16</v>
      </c>
      <c r="O19" s="256">
        <v>1.48</v>
      </c>
    </row>
    <row r="20" spans="1:15" ht="17.5" thickBot="1">
      <c r="A20" s="233"/>
      <c r="B20" s="239" t="s">
        <v>512</v>
      </c>
      <c r="C20" s="240">
        <v>18</v>
      </c>
      <c r="D20" s="241">
        <v>1.1000000000000001</v>
      </c>
      <c r="E20" s="241">
        <v>1.51</v>
      </c>
      <c r="F20" s="241">
        <v>1.19</v>
      </c>
      <c r="G20" s="241">
        <v>1.27</v>
      </c>
      <c r="H20" s="242">
        <v>1.31</v>
      </c>
      <c r="K20" s="193" t="s">
        <v>552</v>
      </c>
      <c r="L20" s="258">
        <v>14.59</v>
      </c>
      <c r="M20" s="258">
        <v>25.96</v>
      </c>
      <c r="N20" s="258">
        <v>25.96</v>
      </c>
      <c r="O20" s="259">
        <v>1.48</v>
      </c>
    </row>
    <row r="21" spans="1:15" ht="17.5" thickTop="1">
      <c r="A21" s="233"/>
      <c r="B21" s="239" t="s">
        <v>513</v>
      </c>
      <c r="C21" s="240">
        <v>18</v>
      </c>
      <c r="D21" s="241">
        <v>1.1000000000000001</v>
      </c>
      <c r="E21" s="241">
        <v>1.51</v>
      </c>
      <c r="F21" s="241">
        <v>1.19</v>
      </c>
      <c r="G21" s="241">
        <v>1.29</v>
      </c>
      <c r="H21" s="242">
        <v>1.31</v>
      </c>
    </row>
    <row r="22" spans="1:15">
      <c r="A22" s="233"/>
      <c r="B22" s="239" t="s">
        <v>514</v>
      </c>
      <c r="C22" s="240">
        <v>22</v>
      </c>
      <c r="D22" s="241">
        <v>1.06</v>
      </c>
      <c r="E22" s="241">
        <v>1.06</v>
      </c>
      <c r="F22" s="241">
        <v>1.1200000000000001</v>
      </c>
      <c r="G22" s="241">
        <v>1.38</v>
      </c>
      <c r="H22" s="242">
        <v>1.48</v>
      </c>
    </row>
    <row r="23" spans="1:15">
      <c r="A23" s="233"/>
      <c r="B23" s="239" t="s">
        <v>515</v>
      </c>
      <c r="C23" s="240">
        <v>23</v>
      </c>
      <c r="D23" s="241">
        <v>1.1499999999999999</v>
      </c>
      <c r="E23" s="241">
        <v>1.0900000000000001</v>
      </c>
      <c r="F23" s="241">
        <v>1.17</v>
      </c>
      <c r="G23" s="241">
        <v>1.35</v>
      </c>
      <c r="H23" s="242">
        <v>1.34</v>
      </c>
    </row>
    <row r="24" spans="1:15">
      <c r="A24" s="233"/>
      <c r="B24" s="239" t="s">
        <v>516</v>
      </c>
      <c r="C24" s="240">
        <v>24</v>
      </c>
      <c r="D24" s="241">
        <v>1.08</v>
      </c>
      <c r="E24" s="241">
        <v>1.1599999999999999</v>
      </c>
      <c r="F24" s="241">
        <v>1.37</v>
      </c>
      <c r="G24" s="241">
        <v>1.36</v>
      </c>
      <c r="H24" s="242">
        <v>1.48</v>
      </c>
    </row>
    <row r="25" spans="1:15">
      <c r="A25" s="233"/>
      <c r="B25" s="239" t="s">
        <v>517</v>
      </c>
      <c r="C25" s="240">
        <v>25</v>
      </c>
      <c r="D25" s="241">
        <v>1.22</v>
      </c>
      <c r="E25" s="241">
        <v>1.29</v>
      </c>
      <c r="F25" s="241">
        <v>1.26</v>
      </c>
      <c r="G25" s="241">
        <v>1.53</v>
      </c>
      <c r="H25" s="242">
        <v>1.45</v>
      </c>
    </row>
    <row r="26" spans="1:15">
      <c r="A26" s="233"/>
      <c r="B26" s="239" t="s">
        <v>518</v>
      </c>
      <c r="C26" s="240">
        <v>14</v>
      </c>
      <c r="D26" s="241">
        <v>1.2</v>
      </c>
      <c r="E26" s="241">
        <v>1.49</v>
      </c>
      <c r="F26" s="241">
        <v>1.1499999999999999</v>
      </c>
      <c r="G26" s="241">
        <v>1.4</v>
      </c>
      <c r="H26" s="242">
        <v>1.34</v>
      </c>
    </row>
    <row r="27" spans="1:15">
      <c r="A27" s="233"/>
      <c r="B27" s="239" t="s">
        <v>519</v>
      </c>
      <c r="C27" s="240">
        <v>26</v>
      </c>
      <c r="D27" s="241">
        <v>1.03</v>
      </c>
      <c r="E27" s="241">
        <v>1.1499999999999999</v>
      </c>
      <c r="F27" s="241">
        <v>1.17</v>
      </c>
      <c r="G27" s="241">
        <v>1.34</v>
      </c>
      <c r="H27" s="242">
        <v>1.32</v>
      </c>
    </row>
    <row r="28" spans="1:15">
      <c r="A28" s="233"/>
      <c r="B28" s="239" t="s">
        <v>520</v>
      </c>
      <c r="C28" s="240">
        <v>27</v>
      </c>
      <c r="D28" s="241">
        <v>1.06</v>
      </c>
      <c r="E28" s="241">
        <v>1.23</v>
      </c>
      <c r="F28" s="241">
        <v>1.1299999999999999</v>
      </c>
      <c r="G28" s="241">
        <v>1.31</v>
      </c>
      <c r="H28" s="242">
        <v>1.23</v>
      </c>
    </row>
    <row r="29" spans="1:15">
      <c r="A29" s="233"/>
      <c r="B29" s="239" t="s">
        <v>521</v>
      </c>
      <c r="C29" s="240">
        <v>28</v>
      </c>
      <c r="D29" s="241">
        <v>1.1499999999999999</v>
      </c>
      <c r="E29" s="241">
        <v>1.1399999999999999</v>
      </c>
      <c r="F29" s="241">
        <v>1.21</v>
      </c>
      <c r="G29" s="241">
        <v>1.35</v>
      </c>
      <c r="H29" s="242">
        <v>1.49</v>
      </c>
    </row>
    <row r="30" spans="1:15">
      <c r="A30" s="233"/>
      <c r="B30" s="239" t="s">
        <v>522</v>
      </c>
      <c r="C30" s="240">
        <v>15</v>
      </c>
      <c r="D30" s="241">
        <v>1.1000000000000001</v>
      </c>
      <c r="E30" s="241">
        <v>1.1000000000000001</v>
      </c>
      <c r="F30" s="241">
        <v>1.21</v>
      </c>
      <c r="G30" s="241">
        <v>1.36</v>
      </c>
      <c r="H30" s="242">
        <v>1.31</v>
      </c>
    </row>
    <row r="31" spans="1:15">
      <c r="A31" s="233"/>
      <c r="B31" s="239" t="s">
        <v>523</v>
      </c>
      <c r="C31" s="240">
        <v>15</v>
      </c>
      <c r="D31" s="241">
        <v>1.1000000000000001</v>
      </c>
      <c r="E31" s="241">
        <v>1.1000000000000001</v>
      </c>
      <c r="F31" s="241">
        <v>1.21</v>
      </c>
      <c r="G31" s="241">
        <v>1.36</v>
      </c>
      <c r="H31" s="242">
        <v>1.31</v>
      </c>
    </row>
    <row r="32" spans="1:15">
      <c r="A32" s="233"/>
      <c r="B32" s="239" t="s">
        <v>524</v>
      </c>
      <c r="C32" s="240">
        <v>25</v>
      </c>
      <c r="D32" s="241">
        <v>1.22</v>
      </c>
      <c r="E32" s="241">
        <v>1.29</v>
      </c>
      <c r="F32" s="241">
        <v>1.26</v>
      </c>
      <c r="G32" s="241">
        <v>1.56</v>
      </c>
      <c r="H32" s="242">
        <v>1.45</v>
      </c>
    </row>
    <row r="33" spans="1:10">
      <c r="A33" s="233"/>
      <c r="B33" s="239" t="s">
        <v>525</v>
      </c>
      <c r="C33" s="240">
        <v>15</v>
      </c>
      <c r="D33" s="241">
        <v>1.1000000000000001</v>
      </c>
      <c r="E33" s="241">
        <v>1.1000000000000001</v>
      </c>
      <c r="F33" s="241">
        <v>1.21</v>
      </c>
      <c r="G33" s="241">
        <v>1.3</v>
      </c>
      <c r="H33" s="242">
        <v>1.31</v>
      </c>
    </row>
    <row r="34" spans="1:10">
      <c r="A34" s="233"/>
      <c r="B34" s="239" t="s">
        <v>526</v>
      </c>
      <c r="C34" s="240">
        <v>29</v>
      </c>
      <c r="D34" s="241">
        <v>1.1499999999999999</v>
      </c>
      <c r="E34" s="241">
        <v>2.09</v>
      </c>
      <c r="F34" s="241">
        <v>1.23</v>
      </c>
      <c r="G34" s="241">
        <v>1.8</v>
      </c>
      <c r="H34" s="242">
        <v>1.47</v>
      </c>
    </row>
    <row r="35" spans="1:10" ht="17.5" thickBot="1">
      <c r="A35" s="234"/>
      <c r="B35" s="243" t="s">
        <v>527</v>
      </c>
      <c r="C35" s="244">
        <v>29</v>
      </c>
      <c r="D35" s="245">
        <v>1.1499999999999999</v>
      </c>
      <c r="E35" s="245">
        <v>2.09</v>
      </c>
      <c r="F35" s="245">
        <v>1.23</v>
      </c>
      <c r="G35" s="245">
        <v>1.52</v>
      </c>
      <c r="H35" s="246">
        <v>1.47</v>
      </c>
    </row>
    <row r="36" spans="1:10" ht="17.5" thickTop="1"/>
    <row r="38" spans="1:10" ht="23">
      <c r="A38" s="226" t="s">
        <v>562</v>
      </c>
      <c r="B38" s="227"/>
      <c r="C38" s="227"/>
      <c r="D38" s="227"/>
      <c r="E38" s="227"/>
      <c r="F38" s="227"/>
      <c r="G38" s="227"/>
      <c r="H38" s="227"/>
      <c r="I38" s="227"/>
      <c r="J38" s="227"/>
    </row>
  </sheetData>
  <mergeCells count="3">
    <mergeCell ref="A2:A3"/>
    <mergeCell ref="D2:H2"/>
    <mergeCell ref="B2:C3"/>
  </mergeCells>
  <phoneticPr fontId="2" type="noConversion"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H13"/>
  <sheetViews>
    <sheetView workbookViewId="0">
      <selection activeCell="C7" sqref="C7"/>
    </sheetView>
  </sheetViews>
  <sheetFormatPr defaultRowHeight="17"/>
  <cols>
    <col min="7" max="7" width="11.25" bestFit="1" customWidth="1"/>
  </cols>
  <sheetData>
    <row r="1" spans="1:8">
      <c r="A1" t="s">
        <v>843</v>
      </c>
      <c r="B1" t="s">
        <v>845</v>
      </c>
    </row>
    <row r="2" spans="1:8">
      <c r="B2" t="s">
        <v>844</v>
      </c>
    </row>
    <row r="3" spans="1:8">
      <c r="B3" t="s">
        <v>851</v>
      </c>
    </row>
    <row r="5" spans="1:8">
      <c r="A5" t="s">
        <v>849</v>
      </c>
    </row>
    <row r="6" spans="1:8">
      <c r="C6" t="s">
        <v>835</v>
      </c>
      <c r="D6" t="s">
        <v>836</v>
      </c>
      <c r="E6" t="s">
        <v>837</v>
      </c>
      <c r="F6" t="s">
        <v>838</v>
      </c>
      <c r="G6" t="s">
        <v>839</v>
      </c>
      <c r="H6" t="s">
        <v>840</v>
      </c>
    </row>
    <row r="7" spans="1:8">
      <c r="B7" t="s">
        <v>841</v>
      </c>
      <c r="C7">
        <v>3.3276365000000002E-2</v>
      </c>
      <c r="D7">
        <v>4.1014570000000002E-3</v>
      </c>
      <c r="E7">
        <v>-5.765081E-3</v>
      </c>
      <c r="F7">
        <v>-7.9329919999999998E-3</v>
      </c>
      <c r="G7">
        <v>-1.0003636E-2</v>
      </c>
      <c r="H7">
        <v>-1.3263053E-2</v>
      </c>
    </row>
    <row r="8" spans="1:8">
      <c r="B8" t="s">
        <v>842</v>
      </c>
      <c r="C8">
        <v>3.3276365000000002E-2</v>
      </c>
      <c r="D8">
        <v>4.1014570000000002E-3</v>
      </c>
      <c r="E8">
        <v>-5.765081E-3</v>
      </c>
      <c r="F8">
        <v>-7.9329919999999998E-3</v>
      </c>
      <c r="G8">
        <v>-1.0003636E-2</v>
      </c>
      <c r="H8">
        <v>-1.3263053E-2</v>
      </c>
    </row>
    <row r="10" spans="1:8">
      <c r="A10" t="s">
        <v>850</v>
      </c>
    </row>
    <row r="11" spans="1:8">
      <c r="C11" t="s">
        <v>835</v>
      </c>
      <c r="D11" t="s">
        <v>836</v>
      </c>
      <c r="E11" t="s">
        <v>837</v>
      </c>
      <c r="F11" t="s">
        <v>838</v>
      </c>
      <c r="G11" t="s">
        <v>839</v>
      </c>
      <c r="H11" t="s">
        <v>840</v>
      </c>
    </row>
    <row r="12" spans="1:8">
      <c r="B12" t="s">
        <v>841</v>
      </c>
      <c r="C12">
        <v>6.5363019999999999E-3</v>
      </c>
      <c r="D12">
        <v>4.8167230000000002E-3</v>
      </c>
      <c r="E12">
        <v>3.635381E-3</v>
      </c>
      <c r="F12">
        <v>2.8425770000000002E-3</v>
      </c>
      <c r="G12">
        <v>2.8586530000000001E-3</v>
      </c>
      <c r="H12">
        <v>2.8770100000000002E-3</v>
      </c>
    </row>
    <row r="13" spans="1:8">
      <c r="B13" t="s">
        <v>842</v>
      </c>
      <c r="C13">
        <v>6.6108679999999998E-3</v>
      </c>
      <c r="D13">
        <v>4.8407060000000002E-3</v>
      </c>
      <c r="E13">
        <v>3.6351869999999998E-3</v>
      </c>
      <c r="F13">
        <v>2.8304570000000002E-3</v>
      </c>
      <c r="G13">
        <v>2.837886E-3</v>
      </c>
      <c r="H13">
        <v>2.8418079999999999E-3</v>
      </c>
    </row>
  </sheetData>
  <phoneticPr fontId="2" type="noConversion"/>
  <pageMargins left="0.7" right="0.7" top="0.75" bottom="0.75" header="0.3" footer="0.3"/>
  <legacy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2:AB15"/>
  <sheetViews>
    <sheetView workbookViewId="0">
      <selection activeCell="M11" sqref="M11"/>
    </sheetView>
  </sheetViews>
  <sheetFormatPr defaultRowHeight="17"/>
  <cols>
    <col min="7" max="7" width="11.25" bestFit="1" customWidth="1"/>
  </cols>
  <sheetData>
    <row r="2" spans="1:28">
      <c r="A2" t="s">
        <v>461</v>
      </c>
      <c r="K2" s="32" t="s">
        <v>459</v>
      </c>
      <c r="S2" s="32" t="s">
        <v>460</v>
      </c>
    </row>
    <row r="3" spans="1:28">
      <c r="A3" s="194"/>
      <c r="B3" s="194" t="s">
        <v>427</v>
      </c>
      <c r="C3" s="194" t="s">
        <v>428</v>
      </c>
      <c r="D3" s="194" t="s">
        <v>429</v>
      </c>
      <c r="E3" s="194" t="s">
        <v>430</v>
      </c>
      <c r="F3" s="194" t="s">
        <v>431</v>
      </c>
      <c r="G3" s="194" t="s">
        <v>458</v>
      </c>
      <c r="K3" s="194"/>
      <c r="L3" s="194" t="s">
        <v>427</v>
      </c>
      <c r="M3" s="194" t="s">
        <v>428</v>
      </c>
      <c r="N3" s="194" t="s">
        <v>429</v>
      </c>
      <c r="O3" s="194" t="s">
        <v>430</v>
      </c>
      <c r="P3" s="194" t="s">
        <v>431</v>
      </c>
      <c r="Q3" s="194" t="s">
        <v>458</v>
      </c>
      <c r="S3" s="194"/>
      <c r="T3" s="194" t="s">
        <v>427</v>
      </c>
      <c r="U3" s="197" t="s">
        <v>428</v>
      </c>
      <c r="V3" s="194" t="s">
        <v>429</v>
      </c>
      <c r="W3" s="194" t="s">
        <v>430</v>
      </c>
      <c r="X3" s="194" t="s">
        <v>431</v>
      </c>
      <c r="AB3" t="s">
        <v>428</v>
      </c>
    </row>
    <row r="4" spans="1:28">
      <c r="A4" s="194" t="s">
        <v>427</v>
      </c>
      <c r="B4" s="194">
        <v>2520758.04629893</v>
      </c>
      <c r="C4" s="194">
        <v>18121.661401483601</v>
      </c>
      <c r="D4" s="194">
        <v>191265.373479817</v>
      </c>
      <c r="E4" s="194">
        <v>10928.9619543963</v>
      </c>
      <c r="F4" s="194">
        <v>6266.5162306130696</v>
      </c>
      <c r="G4">
        <f>SUM(B4:F4)</f>
        <v>2747340.5593652399</v>
      </c>
      <c r="K4" s="194" t="s">
        <v>427</v>
      </c>
      <c r="L4" s="194">
        <f>B4/$G4</f>
        <v>0.9175266013913248</v>
      </c>
      <c r="M4" s="194">
        <f t="shared" ref="M4:P5" si="0">C4/$G4</f>
        <v>6.596073915812798E-3</v>
      </c>
      <c r="N4" s="194">
        <f t="shared" si="0"/>
        <v>6.9618370692277026E-2</v>
      </c>
      <c r="O4" s="194">
        <f t="shared" si="0"/>
        <v>3.978014999684417E-3</v>
      </c>
      <c r="P4" s="194">
        <f t="shared" si="0"/>
        <v>2.2809390009008996E-3</v>
      </c>
      <c r="Q4">
        <f>SUM(L4:P4)</f>
        <v>1</v>
      </c>
      <c r="S4" s="194" t="s">
        <v>427</v>
      </c>
      <c r="T4" s="194">
        <f>B4/B$9</f>
        <v>0.91347736792042311</v>
      </c>
      <c r="U4" s="197">
        <f t="shared" ref="U4:U8" si="1">C4/C$9</f>
        <v>0.11553344389165274</v>
      </c>
      <c r="V4" s="194">
        <f t="shared" ref="V4:V8" si="2">D4/D$9</f>
        <v>0.11873127353805124</v>
      </c>
      <c r="W4" s="194">
        <f t="shared" ref="W4:W8" si="3">E4/E$9</f>
        <v>2.7697778251301056E-2</v>
      </c>
      <c r="X4" s="194">
        <f t="shared" ref="X4:X8" si="4">F4/F$9</f>
        <v>9.5415592816177908E-5</v>
      </c>
      <c r="AB4">
        <v>0.11553344389165274</v>
      </c>
    </row>
    <row r="5" spans="1:28">
      <c r="A5" s="194" t="s">
        <v>428</v>
      </c>
      <c r="B5" s="194">
        <v>16865.730685243299</v>
      </c>
      <c r="C5" s="194">
        <v>131150.17092287299</v>
      </c>
      <c r="D5" s="194">
        <v>5813.2776353171603</v>
      </c>
      <c r="E5" s="194">
        <v>15.764820705944899</v>
      </c>
      <c r="F5" s="194">
        <v>44.666992000176997</v>
      </c>
      <c r="G5">
        <f t="shared" ref="G5:G8" si="5">SUM(B5:F5)</f>
        <v>153889.61105613958</v>
      </c>
      <c r="K5" s="197" t="s">
        <v>428</v>
      </c>
      <c r="L5" s="197">
        <f t="shared" ref="L5" si="6">B5/$G5</f>
        <v>0.10959629158521045</v>
      </c>
      <c r="M5" s="197">
        <f t="shared" si="0"/>
        <v>0.85223537848197473</v>
      </c>
      <c r="N5" s="197">
        <f t="shared" si="0"/>
        <v>3.7775634075756112E-2</v>
      </c>
      <c r="O5" s="197">
        <f t="shared" si="0"/>
        <v>1.0244239749357627E-4</v>
      </c>
      <c r="P5" s="197">
        <f t="shared" si="0"/>
        <v>2.9025345956513131E-4</v>
      </c>
      <c r="Q5" s="34">
        <f t="shared" ref="Q5:Q8" si="7">SUM(L5:P5)</f>
        <v>1</v>
      </c>
      <c r="S5" s="194" t="s">
        <v>428</v>
      </c>
      <c r="T5" s="194">
        <f t="shared" ref="T5:T8" si="8">B5/B$9</f>
        <v>6.1118373883725582E-3</v>
      </c>
      <c r="U5" s="197">
        <f t="shared" si="1"/>
        <v>0.836139169472503</v>
      </c>
      <c r="V5" s="194">
        <f t="shared" si="2"/>
        <v>3.6086921773339788E-3</v>
      </c>
      <c r="W5" s="194">
        <f t="shared" si="3"/>
        <v>3.9953520737542098E-5</v>
      </c>
      <c r="X5" s="194">
        <f t="shared" si="4"/>
        <v>6.8011114376311267E-7</v>
      </c>
      <c r="AB5">
        <v>0.836139169472503</v>
      </c>
    </row>
    <row r="6" spans="1:28">
      <c r="A6" s="194" t="s">
        <v>429</v>
      </c>
      <c r="B6" s="194">
        <v>211692.63990954499</v>
      </c>
      <c r="C6" s="194">
        <v>7523.7606819121702</v>
      </c>
      <c r="D6" s="194">
        <v>1278415.2917721299</v>
      </c>
      <c r="E6" s="194">
        <v>22273.064187382399</v>
      </c>
      <c r="F6" s="194">
        <v>58219.482867054401</v>
      </c>
      <c r="G6">
        <f t="shared" si="5"/>
        <v>1578124.239418024</v>
      </c>
      <c r="K6" s="194" t="s">
        <v>429</v>
      </c>
      <c r="L6" s="194">
        <f t="shared" ref="L6" si="9">B6/$G6</f>
        <v>0.13414193548387063</v>
      </c>
      <c r="M6" s="194">
        <f t="shared" ref="M6" si="10">C6/$G6</f>
        <v>4.7675338189385906E-3</v>
      </c>
      <c r="N6" s="194">
        <f t="shared" ref="N6" si="11">D6/$G6</f>
        <v>0.81008532778355913</v>
      </c>
      <c r="O6" s="194">
        <f t="shared" ref="O6" si="12">E6/$G6</f>
        <v>1.4113631633714843E-2</v>
      </c>
      <c r="P6" s="194">
        <f t="shared" ref="P6" si="13">F6/$G6</f>
        <v>3.6891571279916727E-2</v>
      </c>
      <c r="Q6">
        <f t="shared" si="7"/>
        <v>0.99999999999999989</v>
      </c>
      <c r="S6" s="194" t="s">
        <v>429</v>
      </c>
      <c r="T6" s="194">
        <f t="shared" si="8"/>
        <v>7.671360438445074E-2</v>
      </c>
      <c r="U6" s="197">
        <f t="shared" si="1"/>
        <v>4.796723453439862E-2</v>
      </c>
      <c r="V6" s="194">
        <f t="shared" si="2"/>
        <v>0.79359830240595819</v>
      </c>
      <c r="W6" s="194">
        <f t="shared" si="3"/>
        <v>5.6447665882023844E-2</v>
      </c>
      <c r="X6" s="194">
        <f t="shared" si="4"/>
        <v>8.8646486608841746E-4</v>
      </c>
      <c r="AB6">
        <v>4.796723453439862E-2</v>
      </c>
    </row>
    <row r="7" spans="1:28">
      <c r="A7" s="194" t="s">
        <v>430</v>
      </c>
      <c r="B7" s="194">
        <v>8491.9834202689508</v>
      </c>
      <c r="C7" s="194">
        <v>11.8236155294586</v>
      </c>
      <c r="D7" s="194">
        <v>22697.400611384099</v>
      </c>
      <c r="E7" s="194">
        <v>361361.22022166802</v>
      </c>
      <c r="F7" s="194">
        <v>0</v>
      </c>
      <c r="G7">
        <f t="shared" si="5"/>
        <v>392562.42786885053</v>
      </c>
      <c r="K7" s="194" t="s">
        <v>430</v>
      </c>
      <c r="L7" s="194">
        <f t="shared" ref="L7:L8" si="14">B7/$G7</f>
        <v>2.1632185908290746E-2</v>
      </c>
      <c r="M7" s="194">
        <f t="shared" ref="M7:M8" si="15">C7/$G7</f>
        <v>3.0119070726271083E-5</v>
      </c>
      <c r="N7" s="194">
        <f t="shared" ref="N7:N8" si="16">D7/$G7</f>
        <v>5.7818576104198577E-2</v>
      </c>
      <c r="O7" s="194">
        <f t="shared" ref="O7:O8" si="17">E7/$G7</f>
        <v>0.9205191189167844</v>
      </c>
      <c r="P7" s="194">
        <f t="shared" ref="P7:P8" si="18">F7/$G7</f>
        <v>0</v>
      </c>
      <c r="Q7">
        <f t="shared" si="7"/>
        <v>1</v>
      </c>
      <c r="S7" s="194" t="s">
        <v>430</v>
      </c>
      <c r="T7" s="194">
        <f t="shared" si="8"/>
        <v>3.0773420220003311E-3</v>
      </c>
      <c r="U7" s="197">
        <f t="shared" si="1"/>
        <v>7.538067239559748E-5</v>
      </c>
      <c r="V7" s="194">
        <f t="shared" si="2"/>
        <v>1.4089802202892472E-2</v>
      </c>
      <c r="W7" s="194">
        <f t="shared" si="3"/>
        <v>0.91581460234593748</v>
      </c>
      <c r="X7" s="194">
        <f t="shared" si="4"/>
        <v>0</v>
      </c>
      <c r="AB7">
        <v>7.538067239559748E-5</v>
      </c>
    </row>
    <row r="8" spans="1:28">
      <c r="A8" s="194" t="s">
        <v>431</v>
      </c>
      <c r="B8" s="194">
        <v>1710.4830465950099</v>
      </c>
      <c r="C8" s="194">
        <v>44.666992000177103</v>
      </c>
      <c r="D8" s="194">
        <v>112718.468047506</v>
      </c>
      <c r="E8" s="194">
        <v>0</v>
      </c>
      <c r="F8" s="194">
        <v>65611487.746181503</v>
      </c>
      <c r="G8">
        <f t="shared" si="5"/>
        <v>65725961.364267603</v>
      </c>
      <c r="K8" s="194" t="s">
        <v>431</v>
      </c>
      <c r="L8" s="194">
        <f t="shared" si="14"/>
        <v>2.6024465996246751E-5</v>
      </c>
      <c r="M8" s="194">
        <f t="shared" si="15"/>
        <v>6.7959435013240657E-7</v>
      </c>
      <c r="N8" s="194">
        <f t="shared" si="16"/>
        <v>1.7149763306282533E-3</v>
      </c>
      <c r="O8" s="194">
        <f t="shared" si="17"/>
        <v>0</v>
      </c>
      <c r="P8" s="194">
        <f t="shared" si="18"/>
        <v>0.99825831960902545</v>
      </c>
      <c r="Q8">
        <f t="shared" si="7"/>
        <v>1</v>
      </c>
      <c r="S8" s="194" t="s">
        <v>431</v>
      </c>
      <c r="T8" s="194">
        <f t="shared" si="8"/>
        <v>6.1984828475315909E-4</v>
      </c>
      <c r="U8" s="197">
        <f t="shared" si="1"/>
        <v>2.8477142905003597E-4</v>
      </c>
      <c r="V8" s="194">
        <f t="shared" si="2"/>
        <v>6.9971929675764169E-2</v>
      </c>
      <c r="W8" s="194">
        <f t="shared" si="3"/>
        <v>0</v>
      </c>
      <c r="X8" s="194">
        <f t="shared" si="4"/>
        <v>0.99901743942995158</v>
      </c>
      <c r="AB8">
        <v>2.8477142905003597E-4</v>
      </c>
    </row>
    <row r="9" spans="1:28">
      <c r="A9" s="194" t="s">
        <v>458</v>
      </c>
      <c r="B9">
        <f>SUM(B4:B8)</f>
        <v>2759518.8833605824</v>
      </c>
      <c r="C9">
        <f t="shared" ref="C9:F9" si="19">SUM(C4:C8)</f>
        <v>156852.0836137984</v>
      </c>
      <c r="D9">
        <f t="shared" si="19"/>
        <v>1610909.8115461541</v>
      </c>
      <c r="E9">
        <f t="shared" si="19"/>
        <v>394579.01118415268</v>
      </c>
      <c r="F9">
        <f t="shared" si="19"/>
        <v>65676018.412271172</v>
      </c>
      <c r="G9">
        <f>SUM(G4:G8)</f>
        <v>70597878.201975852</v>
      </c>
      <c r="H9" t="b">
        <f>SUM(B9:F9)=G9</f>
        <v>1</v>
      </c>
      <c r="K9" s="194"/>
      <c r="S9" s="194" t="s">
        <v>458</v>
      </c>
      <c r="T9">
        <f>SUM(T4:T8)</f>
        <v>0.99999999999999989</v>
      </c>
      <c r="U9" s="34">
        <f t="shared" ref="U9" si="20">SUM(U4:U8)</f>
        <v>1.0000000000000002</v>
      </c>
      <c r="V9">
        <f t="shared" ref="V9" si="21">SUM(V4:V8)</f>
        <v>1</v>
      </c>
      <c r="W9">
        <f t="shared" ref="W9" si="22">SUM(W4:W8)</f>
        <v>0.99999999999999989</v>
      </c>
      <c r="X9">
        <f t="shared" ref="X9" si="23">SUM(X4:X8)</f>
        <v>0.99999999999999989</v>
      </c>
      <c r="AB9">
        <v>1.0000000000000002</v>
      </c>
    </row>
    <row r="11" spans="1:28" ht="30">
      <c r="A11" s="196"/>
      <c r="B11">
        <f t="shared" ref="B11:E11" si="24">B5/$G$5</f>
        <v>0.10959629158521045</v>
      </c>
      <c r="C11">
        <f t="shared" si="24"/>
        <v>0.85223537848197473</v>
      </c>
      <c r="D11">
        <f t="shared" si="24"/>
        <v>3.7775634075756112E-2</v>
      </c>
      <c r="E11">
        <f t="shared" si="24"/>
        <v>1.0244239749357627E-4</v>
      </c>
      <c r="F11">
        <f>F5/$G$5</f>
        <v>2.9025345956513131E-4</v>
      </c>
      <c r="K11" s="199"/>
      <c r="L11" s="200" t="s">
        <v>427</v>
      </c>
      <c r="M11" s="200" t="s">
        <v>428</v>
      </c>
      <c r="N11" s="200" t="s">
        <v>429</v>
      </c>
      <c r="O11" s="200" t="s">
        <v>430</v>
      </c>
      <c r="P11" s="200" t="s">
        <v>431</v>
      </c>
      <c r="Q11" s="200" t="s">
        <v>462</v>
      </c>
      <c r="S11" s="199"/>
      <c r="T11" s="200" t="s">
        <v>427</v>
      </c>
      <c r="U11" s="200" t="s">
        <v>428</v>
      </c>
      <c r="V11" s="200" t="s">
        <v>429</v>
      </c>
      <c r="W11" s="200" t="s">
        <v>430</v>
      </c>
      <c r="X11" s="200" t="s">
        <v>431</v>
      </c>
      <c r="Y11" s="200" t="s">
        <v>462</v>
      </c>
    </row>
    <row r="12" spans="1:28">
      <c r="K12" s="200" t="s">
        <v>428</v>
      </c>
      <c r="L12" s="200">
        <v>0.10959629158521045</v>
      </c>
      <c r="M12" s="200">
        <v>0.85223537848197473</v>
      </c>
      <c r="N12" s="200">
        <v>3.7775634075756112E-2</v>
      </c>
      <c r="O12" s="200">
        <v>1.0244239749357627E-4</v>
      </c>
      <c r="P12" s="200">
        <v>2.9025345956513131E-4</v>
      </c>
      <c r="Q12" s="199">
        <v>1</v>
      </c>
      <c r="S12" s="199" t="s">
        <v>428</v>
      </c>
      <c r="T12" s="199">
        <v>0.11553344389165274</v>
      </c>
      <c r="U12" s="199">
        <v>0.836139169472503</v>
      </c>
      <c r="V12" s="199">
        <v>4.796723453439862E-2</v>
      </c>
      <c r="W12" s="199">
        <v>7.538067239559748E-5</v>
      </c>
      <c r="X12" s="199">
        <v>2.8477142905003597E-4</v>
      </c>
      <c r="Y12" s="199">
        <v>1.0000000000000002</v>
      </c>
    </row>
    <row r="13" spans="1:28">
      <c r="Q13" t="b">
        <f>SUM(L12:P12)=Q12</f>
        <v>1</v>
      </c>
      <c r="Y13" t="b">
        <f>SUM(T12:X12)=Y12</f>
        <v>1</v>
      </c>
    </row>
    <row r="15" spans="1:28" ht="30">
      <c r="A15" s="195"/>
    </row>
  </sheetData>
  <phoneticPr fontId="2" type="noConversion"/>
  <pageMargins left="0.7" right="0.7" top="0.75" bottom="0.75" header="0.3" footer="0.3"/>
  <legacy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P28"/>
  <sheetViews>
    <sheetView workbookViewId="0">
      <selection activeCell="M14" sqref="M14"/>
    </sheetView>
  </sheetViews>
  <sheetFormatPr defaultColWidth="8.58203125" defaultRowHeight="17"/>
  <cols>
    <col min="1" max="1" width="38" style="427" bestFit="1" customWidth="1"/>
    <col min="2" max="9" width="8.58203125" style="427"/>
    <col min="10" max="10" width="40.5" style="427" bestFit="1" customWidth="1"/>
    <col min="11" max="16384" width="8.58203125" style="427"/>
  </cols>
  <sheetData>
    <row r="1" spans="1:16" s="426" customFormat="1" ht="23">
      <c r="A1" s="425" t="s">
        <v>869</v>
      </c>
    </row>
    <row r="2" spans="1:16">
      <c r="J2" s="427" t="s">
        <v>870</v>
      </c>
      <c r="K2" s="427" t="s">
        <v>871</v>
      </c>
    </row>
    <row r="3" spans="1:16">
      <c r="B3" s="427" t="s">
        <v>872</v>
      </c>
      <c r="C3" s="427" t="s">
        <v>873</v>
      </c>
      <c r="D3" s="427" t="s">
        <v>874</v>
      </c>
      <c r="E3" s="427" t="s">
        <v>875</v>
      </c>
      <c r="F3" s="427" t="s">
        <v>876</v>
      </c>
      <c r="G3" s="427" t="s">
        <v>877</v>
      </c>
    </row>
    <row r="4" spans="1:16">
      <c r="A4" s="427">
        <v>2025</v>
      </c>
      <c r="B4" s="427">
        <v>22151.49</v>
      </c>
      <c r="C4" s="427">
        <v>22461.8</v>
      </c>
      <c r="D4" s="427">
        <v>42.683999999999997</v>
      </c>
      <c r="E4" s="427">
        <v>25.37</v>
      </c>
      <c r="F4" s="427">
        <v>1517.5440000000001</v>
      </c>
      <c r="G4" s="427">
        <v>1573.2439999999999</v>
      </c>
    </row>
    <row r="5" spans="1:16">
      <c r="A5" s="427">
        <v>2020</v>
      </c>
      <c r="B5" s="427">
        <v>16523.95</v>
      </c>
      <c r="C5" s="427">
        <v>16937.05</v>
      </c>
      <c r="D5" s="427">
        <v>21.37</v>
      </c>
      <c r="E5" s="427">
        <v>14.486000000000001</v>
      </c>
      <c r="F5" s="427">
        <v>1466.248</v>
      </c>
      <c r="G5" s="427">
        <v>1518.346</v>
      </c>
    </row>
    <row r="6" spans="1:16">
      <c r="A6" s="428">
        <v>2019</v>
      </c>
      <c r="B6" s="428">
        <f>B5/(1+B8)</f>
        <v>15537.154544211986</v>
      </c>
      <c r="C6" s="428">
        <f t="shared" ref="C6:G6" si="0">C5/(1+C8)</f>
        <v>15955.912810422771</v>
      </c>
      <c r="D6" s="428">
        <f t="shared" si="0"/>
        <v>18.998325019526163</v>
      </c>
      <c r="E6" s="428">
        <f t="shared" si="0"/>
        <v>13.082831511872131</v>
      </c>
      <c r="F6" s="428">
        <f t="shared" si="0"/>
        <v>1453.9613053278688</v>
      </c>
      <c r="G6" s="428">
        <f t="shared" si="0"/>
        <v>1505.2149645213499</v>
      </c>
    </row>
    <row r="8" spans="1:16">
      <c r="A8" s="427" t="s">
        <v>878</v>
      </c>
      <c r="B8" s="427">
        <f>(1-B5/B4)/4</f>
        <v>6.3511980458199419E-2</v>
      </c>
      <c r="C8" s="427">
        <f>(1-C5/C4)/4</f>
        <v>6.1490508329697546E-2</v>
      </c>
      <c r="D8" s="427">
        <f t="shared" ref="D8:G8" si="1">(1-D5/D4)/4</f>
        <v>0.12483600412332488</v>
      </c>
      <c r="E8" s="427">
        <f t="shared" si="1"/>
        <v>0.10725266062278282</v>
      </c>
      <c r="F8" s="427">
        <f t="shared" si="1"/>
        <v>8.4504963282777956E-3</v>
      </c>
      <c r="G8" s="427">
        <f t="shared" si="1"/>
        <v>8.7236944809578054E-3</v>
      </c>
    </row>
    <row r="9" spans="1:16">
      <c r="A9" s="427" t="s">
        <v>879</v>
      </c>
    </row>
    <row r="11" spans="1:16">
      <c r="J11" s="427" t="s">
        <v>880</v>
      </c>
    </row>
    <row r="12" spans="1:16">
      <c r="A12" s="429" t="s">
        <v>881</v>
      </c>
      <c r="B12" s="427">
        <f>B4-B6</f>
        <v>6614.3354557880157</v>
      </c>
      <c r="C12" s="427">
        <f t="shared" ref="C12:G12" si="2">C4-C6</f>
        <v>6505.8871895772281</v>
      </c>
      <c r="D12" s="427">
        <f t="shared" si="2"/>
        <v>23.685674980473834</v>
      </c>
      <c r="E12" s="427">
        <f t="shared" si="2"/>
        <v>12.28716848812787</v>
      </c>
      <c r="F12" s="427">
        <f t="shared" si="2"/>
        <v>63.582694672131311</v>
      </c>
      <c r="G12" s="427">
        <f t="shared" si="2"/>
        <v>68.02903547865003</v>
      </c>
      <c r="K12" s="427" t="s">
        <v>882</v>
      </c>
      <c r="L12" s="427" t="s">
        <v>883</v>
      </c>
      <c r="M12" s="427" t="s">
        <v>874</v>
      </c>
      <c r="N12" s="427" t="s">
        <v>875</v>
      </c>
      <c r="O12" s="427" t="s">
        <v>884</v>
      </c>
      <c r="P12" s="427" t="s">
        <v>877</v>
      </c>
    </row>
    <row r="13" spans="1:16">
      <c r="A13" s="430" t="s">
        <v>885</v>
      </c>
      <c r="B13" s="427">
        <f>B$12*B23</f>
        <v>-136.96839873709013</v>
      </c>
      <c r="C13" s="427">
        <f t="shared" ref="C13:G13" si="3">C$12*C23</f>
        <v>-1.4597098527887793</v>
      </c>
      <c r="D13" s="427">
        <f t="shared" si="3"/>
        <v>1.3291239043173875</v>
      </c>
      <c r="E13" s="427">
        <f t="shared" si="3"/>
        <v>1.2486659246635243</v>
      </c>
      <c r="F13" s="427">
        <f t="shared" si="3"/>
        <v>2.2241281513909459</v>
      </c>
      <c r="G13" s="427">
        <f t="shared" si="3"/>
        <v>2.4579039193629422</v>
      </c>
      <c r="J13" s="427">
        <v>2025</v>
      </c>
      <c r="K13" s="427">
        <f>B$12+B13</f>
        <v>6477.3670570509257</v>
      </c>
      <c r="L13" s="427">
        <f t="shared" ref="L13:P13" si="4">C$12+C13</f>
        <v>6504.4274797244398</v>
      </c>
      <c r="M13" s="427">
        <f t="shared" si="4"/>
        <v>25.014798884791222</v>
      </c>
      <c r="N13" s="427">
        <f t="shared" si="4"/>
        <v>13.535834412791395</v>
      </c>
      <c r="O13" s="427">
        <f t="shared" si="4"/>
        <v>65.806822823522253</v>
      </c>
      <c r="P13" s="427">
        <f t="shared" si="4"/>
        <v>70.486939398012979</v>
      </c>
    </row>
    <row r="14" spans="1:16">
      <c r="A14" s="430" t="s">
        <v>886</v>
      </c>
      <c r="B14" s="427">
        <f t="shared" ref="B14:G18" si="5">B$12*B24</f>
        <v>-19.951699192108912</v>
      </c>
      <c r="C14" s="427">
        <f t="shared" si="5"/>
        <v>-66.15324538206842</v>
      </c>
      <c r="D14" s="427">
        <f t="shared" si="5"/>
        <v>7.3231419430618866E-2</v>
      </c>
      <c r="E14" s="427">
        <f t="shared" si="5"/>
        <v>-5.1045944773560413E-2</v>
      </c>
      <c r="F14" s="427">
        <f t="shared" si="5"/>
        <v>1.6410989623185865</v>
      </c>
      <c r="G14" s="427">
        <f t="shared" si="5"/>
        <v>1.8014039743476842</v>
      </c>
      <c r="J14" s="427">
        <v>2030</v>
      </c>
      <c r="K14" s="427">
        <f>K13+B14</f>
        <v>6457.4153578588166</v>
      </c>
      <c r="L14" s="427">
        <f t="shared" ref="L14:P18" si="6">L13+C14</f>
        <v>6438.2742343423715</v>
      </c>
      <c r="M14" s="427">
        <f t="shared" si="6"/>
        <v>25.088030304221842</v>
      </c>
      <c r="N14" s="427">
        <f t="shared" si="6"/>
        <v>13.484788468017834</v>
      </c>
      <c r="O14" s="427">
        <f t="shared" si="6"/>
        <v>67.447921785840833</v>
      </c>
      <c r="P14" s="427">
        <f t="shared" si="6"/>
        <v>72.288343372360657</v>
      </c>
    </row>
    <row r="15" spans="1:16">
      <c r="A15" s="430" t="s">
        <v>887</v>
      </c>
      <c r="B15" s="427">
        <f t="shared" si="5"/>
        <v>-175.08411810760236</v>
      </c>
      <c r="C15" s="427">
        <f t="shared" si="5"/>
        <v>-158.15057395623887</v>
      </c>
      <c r="D15" s="427">
        <f t="shared" si="5"/>
        <v>-0.29825580358050607</v>
      </c>
      <c r="E15" s="427">
        <f t="shared" si="5"/>
        <v>-0.31596957959006705</v>
      </c>
      <c r="F15" s="427">
        <f t="shared" si="5"/>
        <v>1.2394406852863418</v>
      </c>
      <c r="G15" s="427">
        <f t="shared" si="5"/>
        <v>1.3535825727464796</v>
      </c>
      <c r="J15" s="427">
        <v>2035</v>
      </c>
      <c r="K15" s="427">
        <f t="shared" ref="K15:K18" si="7">K14+B15</f>
        <v>6282.3312397512145</v>
      </c>
      <c r="L15" s="427">
        <f t="shared" si="6"/>
        <v>6280.1236603861325</v>
      </c>
      <c r="M15" s="427">
        <f t="shared" si="6"/>
        <v>24.789774500641336</v>
      </c>
      <c r="N15" s="427">
        <f t="shared" si="6"/>
        <v>13.168818888427767</v>
      </c>
      <c r="O15" s="427">
        <f t="shared" si="6"/>
        <v>68.687362471127173</v>
      </c>
      <c r="P15" s="427">
        <f t="shared" si="6"/>
        <v>73.641925945107133</v>
      </c>
    </row>
    <row r="16" spans="1:16">
      <c r="A16" s="430" t="s">
        <v>888</v>
      </c>
      <c r="B16" s="427">
        <f t="shared" si="5"/>
        <v>-216.27735345574047</v>
      </c>
      <c r="C16" s="427">
        <f t="shared" si="5"/>
        <v>-182.1713990965257</v>
      </c>
      <c r="D16" s="427">
        <f t="shared" si="5"/>
        <v>-0.4397254364035289</v>
      </c>
      <c r="E16" s="427">
        <f t="shared" si="5"/>
        <v>-0.2890523651016581</v>
      </c>
      <c r="F16" s="427">
        <f t="shared" si="5"/>
        <v>0.96960979622475119</v>
      </c>
      <c r="G16" s="427">
        <f t="shared" si="5"/>
        <v>1.0542367838949092</v>
      </c>
      <c r="J16" s="427">
        <v>2040</v>
      </c>
      <c r="K16" s="427">
        <f t="shared" si="7"/>
        <v>6066.0538862954745</v>
      </c>
      <c r="L16" s="427">
        <f t="shared" si="6"/>
        <v>6097.9522612896071</v>
      </c>
      <c r="M16" s="427">
        <f t="shared" si="6"/>
        <v>24.350049064237808</v>
      </c>
      <c r="N16" s="427">
        <f t="shared" si="6"/>
        <v>12.879766523326108</v>
      </c>
      <c r="O16" s="427">
        <f t="shared" si="6"/>
        <v>69.656972267351918</v>
      </c>
      <c r="P16" s="427">
        <f t="shared" si="6"/>
        <v>74.69616272900204</v>
      </c>
    </row>
    <row r="17" spans="1:16">
      <c r="A17" s="430" t="s">
        <v>889</v>
      </c>
      <c r="B17" s="427">
        <f t="shared" si="5"/>
        <v>-310.99586904405407</v>
      </c>
      <c r="C17" s="427">
        <f t="shared" si="5"/>
        <v>-297.17738936856841</v>
      </c>
      <c r="D17" s="427">
        <f t="shared" si="5"/>
        <v>-0.34718572111846069</v>
      </c>
      <c r="E17" s="427">
        <f t="shared" si="5"/>
        <v>-0.21699838860465218</v>
      </c>
      <c r="F17" s="427">
        <f t="shared" si="5"/>
        <v>0.97632490659731985</v>
      </c>
      <c r="G17" s="427">
        <f t="shared" si="5"/>
        <v>1.0567892017720795</v>
      </c>
      <c r="J17" s="427">
        <v>2045</v>
      </c>
      <c r="K17" s="427">
        <f t="shared" si="7"/>
        <v>5755.0580172514201</v>
      </c>
      <c r="L17" s="427">
        <f t="shared" si="6"/>
        <v>5800.7748719210385</v>
      </c>
      <c r="M17" s="427">
        <f t="shared" si="6"/>
        <v>24.002863343119348</v>
      </c>
      <c r="N17" s="427">
        <f t="shared" si="6"/>
        <v>12.662768134721455</v>
      </c>
      <c r="O17" s="427">
        <f t="shared" si="6"/>
        <v>70.633297173949245</v>
      </c>
      <c r="P17" s="427">
        <f t="shared" si="6"/>
        <v>75.752951930774117</v>
      </c>
    </row>
    <row r="18" spans="1:16">
      <c r="A18" s="430" t="s">
        <v>890</v>
      </c>
      <c r="B18" s="427">
        <f t="shared" si="5"/>
        <v>-425.80154313374544</v>
      </c>
      <c r="C18" s="427">
        <f t="shared" si="5"/>
        <v>-426.13130614152811</v>
      </c>
      <c r="D18" s="427">
        <f t="shared" si="5"/>
        <v>-1.0646206891136625</v>
      </c>
      <c r="E18" s="427">
        <f t="shared" si="5"/>
        <v>-0.62484310756648598</v>
      </c>
      <c r="F18" s="427">
        <f t="shared" si="5"/>
        <v>0.98334005560387527</v>
      </c>
      <c r="G18" s="427">
        <f t="shared" si="5"/>
        <v>1.0579041565503018</v>
      </c>
      <c r="J18" s="427">
        <v>2050</v>
      </c>
      <c r="K18" s="427">
        <f t="shared" si="7"/>
        <v>5329.2564741176748</v>
      </c>
      <c r="L18" s="427">
        <f t="shared" si="6"/>
        <v>5374.64356577951</v>
      </c>
      <c r="M18" s="427">
        <f t="shared" si="6"/>
        <v>22.938242654005684</v>
      </c>
      <c r="N18" s="427">
        <f t="shared" si="6"/>
        <v>12.037925027154969</v>
      </c>
      <c r="O18" s="427">
        <f t="shared" si="6"/>
        <v>71.61663722955312</v>
      </c>
      <c r="P18" s="427">
        <f t="shared" si="6"/>
        <v>76.810856087324424</v>
      </c>
    </row>
    <row r="20" spans="1:16" s="426" customFormat="1" ht="23">
      <c r="A20" s="425" t="s">
        <v>891</v>
      </c>
    </row>
    <row r="22" spans="1:16">
      <c r="B22" s="427" t="s">
        <v>882</v>
      </c>
      <c r="C22" s="427" t="s">
        <v>873</v>
      </c>
      <c r="D22" s="427" t="s">
        <v>892</v>
      </c>
      <c r="E22" s="427" t="s">
        <v>875</v>
      </c>
      <c r="F22" s="427" t="s">
        <v>876</v>
      </c>
      <c r="G22" s="427" t="s">
        <v>877</v>
      </c>
    </row>
    <row r="23" spans="1:16">
      <c r="A23" s="427" t="s">
        <v>893</v>
      </c>
      <c r="B23" s="427">
        <v>-2.0707809522607899E-2</v>
      </c>
      <c r="C23" s="427">
        <v>-2.2436753209113599E-4</v>
      </c>
      <c r="D23" s="427">
        <v>5.6115095111838702E-2</v>
      </c>
      <c r="E23" s="427">
        <v>0.101623569813502</v>
      </c>
      <c r="F23" s="427">
        <v>3.49800863719259E-2</v>
      </c>
      <c r="G23" s="427">
        <v>3.6130218546672199E-2</v>
      </c>
    </row>
    <row r="24" spans="1:16">
      <c r="A24" s="427" t="s">
        <v>894</v>
      </c>
      <c r="B24" s="427">
        <v>-3.0164329168775E-3</v>
      </c>
      <c r="C24" s="427">
        <v>-1.01682127977948E-2</v>
      </c>
      <c r="D24" s="427">
        <v>3.0918020909680602E-3</v>
      </c>
      <c r="E24" s="427">
        <v>-4.1544107434419997E-3</v>
      </c>
      <c r="F24" s="427">
        <v>2.5810465737273799E-2</v>
      </c>
      <c r="G24" s="427">
        <v>2.6479928190559599E-2</v>
      </c>
    </row>
    <row r="25" spans="1:16">
      <c r="A25" s="427" t="s">
        <v>895</v>
      </c>
      <c r="B25" s="427">
        <v>-2.6470401944066999E-2</v>
      </c>
      <c r="C25" s="427">
        <v>-2.4308840492900701E-2</v>
      </c>
      <c r="D25" s="427">
        <v>-1.2592244207791601E-2</v>
      </c>
      <c r="E25" s="427">
        <v>-2.5715410340092899E-2</v>
      </c>
      <c r="F25" s="427">
        <v>1.9493365162920599E-2</v>
      </c>
      <c r="G25" s="427">
        <v>1.9897130147777602E-2</v>
      </c>
    </row>
    <row r="26" spans="1:16">
      <c r="A26" s="427" t="s">
        <v>896</v>
      </c>
      <c r="B26" s="427">
        <v>-3.2698274059638502E-2</v>
      </c>
      <c r="C26" s="427">
        <v>-2.8001007977570502E-2</v>
      </c>
      <c r="D26" s="427">
        <v>-1.8565037169767502E-2</v>
      </c>
      <c r="E26" s="427">
        <v>-2.3524733577223001E-2</v>
      </c>
      <c r="F26" s="427">
        <v>1.52495864043607E-2</v>
      </c>
      <c r="G26" s="427">
        <v>1.54968650735283E-2</v>
      </c>
    </row>
    <row r="27" spans="1:16">
      <c r="A27" s="427" t="s">
        <v>897</v>
      </c>
      <c r="B27" s="427">
        <v>-4.7018460300786602E-2</v>
      </c>
      <c r="C27" s="427">
        <v>-4.5678226613683398E-2</v>
      </c>
      <c r="D27" s="427">
        <v>-1.46580463256663E-2</v>
      </c>
      <c r="E27" s="427">
        <v>-1.76605691387988E-2</v>
      </c>
      <c r="F27" s="427">
        <v>1.53551986374879E-2</v>
      </c>
      <c r="G27" s="427">
        <v>1.5534384609991099E-2</v>
      </c>
    </row>
    <row r="28" spans="1:16">
      <c r="A28" s="427" t="s">
        <v>898</v>
      </c>
      <c r="B28" s="427">
        <v>-6.4375559113975495E-2</v>
      </c>
      <c r="C28" s="427">
        <v>-6.5499338326095294E-2</v>
      </c>
      <c r="D28" s="427">
        <v>-4.4947872078432302E-2</v>
      </c>
      <c r="E28" s="427">
        <v>-5.0853303441734603E-2</v>
      </c>
      <c r="F28" s="427">
        <v>1.54655297431878E-2</v>
      </c>
      <c r="G28" s="427">
        <v>1.55507740056422E-2</v>
      </c>
    </row>
  </sheetData>
  <phoneticPr fontId="2" type="noConversion"/>
  <pageMargins left="0.7" right="0.7" top="0.75" bottom="0.75" header="0.3" footer="0.3"/>
  <pageSetup paperSize="9" orientation="portrait" r:id="rId1"/>
  <legacy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L69"/>
  <sheetViews>
    <sheetView topLeftCell="A4" zoomScale="70" zoomScaleNormal="70" workbookViewId="0">
      <selection activeCell="A34" sqref="A34"/>
    </sheetView>
  </sheetViews>
  <sheetFormatPr defaultRowHeight="17"/>
  <sheetData>
    <row r="3" spans="1:31" ht="17.5" thickBot="1">
      <c r="A3" t="s">
        <v>176</v>
      </c>
      <c r="I3" t="s">
        <v>178</v>
      </c>
    </row>
    <row r="4" spans="1:31" ht="17.5" thickTop="1">
      <c r="A4" s="638" t="s">
        <v>177</v>
      </c>
      <c r="B4" s="532" t="s">
        <v>155</v>
      </c>
      <c r="C4" s="534"/>
      <c r="D4" s="534"/>
      <c r="E4" s="534"/>
      <c r="F4" s="534"/>
      <c r="G4" s="534"/>
      <c r="H4" s="534"/>
      <c r="I4" s="534"/>
      <c r="L4" s="638" t="s">
        <v>39</v>
      </c>
      <c r="M4" s="532" t="s">
        <v>179</v>
      </c>
      <c r="N4" s="534"/>
      <c r="O4" s="534"/>
      <c r="P4" s="534"/>
      <c r="Q4" s="534"/>
      <c r="R4" s="534"/>
      <c r="S4" s="534"/>
      <c r="T4" s="534"/>
      <c r="AB4" s="558" t="s">
        <v>39</v>
      </c>
      <c r="AC4" s="559"/>
      <c r="AD4" s="562" t="s">
        <v>163</v>
      </c>
      <c r="AE4" s="563"/>
    </row>
    <row r="5" spans="1:31" ht="17.5" thickBot="1">
      <c r="A5" s="639"/>
      <c r="B5" s="539" t="s">
        <v>165</v>
      </c>
      <c r="C5" s="540"/>
      <c r="D5" s="540"/>
      <c r="E5" s="540"/>
      <c r="F5" s="540"/>
      <c r="G5" s="541"/>
      <c r="H5" s="542" t="s">
        <v>166</v>
      </c>
      <c r="I5" s="543"/>
      <c r="L5" s="639"/>
      <c r="M5" s="539" t="s">
        <v>165</v>
      </c>
      <c r="N5" s="540"/>
      <c r="O5" s="540"/>
      <c r="P5" s="540"/>
      <c r="Q5" s="540"/>
      <c r="R5" s="541"/>
      <c r="S5" s="542" t="s">
        <v>166</v>
      </c>
      <c r="T5" s="543"/>
      <c r="AB5" s="560"/>
      <c r="AC5" s="561"/>
      <c r="AD5" s="36" t="s">
        <v>156</v>
      </c>
      <c r="AE5" s="37" t="s">
        <v>157</v>
      </c>
    </row>
    <row r="6" spans="1:31" ht="17.5" thickTop="1">
      <c r="A6" s="639"/>
      <c r="B6" s="539" t="s">
        <v>44</v>
      </c>
      <c r="C6" s="541"/>
      <c r="D6" s="539" t="s">
        <v>45</v>
      </c>
      <c r="E6" s="541"/>
      <c r="F6" s="539" t="s">
        <v>46</v>
      </c>
      <c r="G6" s="541"/>
      <c r="H6" s="544"/>
      <c r="I6" s="545"/>
      <c r="L6" s="639"/>
      <c r="M6" s="539" t="s">
        <v>44</v>
      </c>
      <c r="N6" s="541"/>
      <c r="O6" s="539" t="s">
        <v>45</v>
      </c>
      <c r="P6" s="541"/>
      <c r="Q6" s="539" t="s">
        <v>46</v>
      </c>
      <c r="R6" s="541"/>
      <c r="S6" s="544"/>
      <c r="T6" s="545"/>
      <c r="AB6" s="564" t="s">
        <v>164</v>
      </c>
      <c r="AC6" s="44" t="s">
        <v>165</v>
      </c>
      <c r="AD6" s="44">
        <v>1.59</v>
      </c>
      <c r="AE6" s="45">
        <v>1.7</v>
      </c>
    </row>
    <row r="7" spans="1:31" ht="17.5" thickBot="1">
      <c r="A7" s="640"/>
      <c r="B7" s="53" t="s">
        <v>40</v>
      </c>
      <c r="C7" s="53" t="s">
        <v>41</v>
      </c>
      <c r="D7" s="53" t="s">
        <v>40</v>
      </c>
      <c r="E7" s="54" t="s">
        <v>41</v>
      </c>
      <c r="F7" s="53" t="s">
        <v>40</v>
      </c>
      <c r="G7" s="53" t="s">
        <v>41</v>
      </c>
      <c r="H7" s="53" t="s">
        <v>40</v>
      </c>
      <c r="I7" s="54" t="s">
        <v>41</v>
      </c>
      <c r="L7" s="640"/>
      <c r="M7" s="53" t="s">
        <v>40</v>
      </c>
      <c r="N7" s="53" t="s">
        <v>41</v>
      </c>
      <c r="O7" s="53" t="s">
        <v>40</v>
      </c>
      <c r="P7" s="54" t="s">
        <v>41</v>
      </c>
      <c r="Q7" s="53" t="s">
        <v>40</v>
      </c>
      <c r="R7" s="53" t="s">
        <v>41</v>
      </c>
      <c r="S7" s="53" t="s">
        <v>40</v>
      </c>
      <c r="T7" s="54" t="s">
        <v>41</v>
      </c>
      <c r="AB7" s="565"/>
      <c r="AC7" s="46" t="s">
        <v>166</v>
      </c>
      <c r="AD7" s="46">
        <v>1.59</v>
      </c>
      <c r="AE7" s="47">
        <v>1.7</v>
      </c>
    </row>
    <row r="8" spans="1:31" ht="17.5" thickTop="1">
      <c r="A8" s="38" t="s">
        <v>161</v>
      </c>
      <c r="B8" s="6">
        <v>0</v>
      </c>
      <c r="C8" s="6">
        <v>110</v>
      </c>
      <c r="D8" s="6">
        <v>0</v>
      </c>
      <c r="E8" s="39">
        <v>31</v>
      </c>
      <c r="F8" s="6">
        <v>0</v>
      </c>
      <c r="G8" s="6">
        <v>11</v>
      </c>
      <c r="H8" s="6">
        <v>0</v>
      </c>
      <c r="I8" s="39">
        <v>0</v>
      </c>
      <c r="L8" s="38" t="s">
        <v>161</v>
      </c>
      <c r="M8" s="6">
        <v>0</v>
      </c>
      <c r="N8" s="6">
        <v>110</v>
      </c>
      <c r="O8" s="6">
        <v>0</v>
      </c>
      <c r="P8" s="39">
        <v>31</v>
      </c>
      <c r="Q8" s="6">
        <v>0</v>
      </c>
      <c r="R8" s="6">
        <v>11</v>
      </c>
      <c r="S8" s="6">
        <v>0</v>
      </c>
      <c r="T8" s="39">
        <v>0</v>
      </c>
      <c r="AB8" s="566" t="s">
        <v>13</v>
      </c>
      <c r="AC8" s="46" t="s">
        <v>9</v>
      </c>
      <c r="AD8" s="46">
        <v>1.38</v>
      </c>
      <c r="AE8" s="47">
        <v>1.48</v>
      </c>
    </row>
    <row r="9" spans="1:31" ht="32">
      <c r="A9" s="40" t="s">
        <v>55</v>
      </c>
      <c r="B9" s="9">
        <v>0</v>
      </c>
      <c r="C9" s="9">
        <v>359</v>
      </c>
      <c r="D9" s="9">
        <v>0</v>
      </c>
      <c r="E9" s="41">
        <v>158</v>
      </c>
      <c r="F9" s="9">
        <v>5</v>
      </c>
      <c r="G9" s="9">
        <v>37</v>
      </c>
      <c r="H9" s="9">
        <v>0</v>
      </c>
      <c r="I9" s="41">
        <v>0</v>
      </c>
      <c r="L9" s="40" t="s">
        <v>55</v>
      </c>
      <c r="M9" s="9">
        <v>0</v>
      </c>
      <c r="N9" s="9">
        <v>356</v>
      </c>
      <c r="O9" s="9">
        <v>0</v>
      </c>
      <c r="P9" s="41">
        <v>157</v>
      </c>
      <c r="Q9" s="9">
        <v>5</v>
      </c>
      <c r="R9" s="9">
        <v>37</v>
      </c>
      <c r="S9" s="9">
        <v>0</v>
      </c>
      <c r="T9" s="41">
        <v>0</v>
      </c>
      <c r="AB9" s="565"/>
      <c r="AC9" s="46" t="s">
        <v>10</v>
      </c>
      <c r="AD9" s="46">
        <v>1.6</v>
      </c>
      <c r="AE9" s="47">
        <v>1.56</v>
      </c>
    </row>
    <row r="10" spans="1:31" ht="32">
      <c r="A10" s="40" t="s">
        <v>56</v>
      </c>
      <c r="B10" s="9">
        <v>0</v>
      </c>
      <c r="C10" s="9">
        <v>457</v>
      </c>
      <c r="D10" s="9">
        <v>0</v>
      </c>
      <c r="E10" s="41">
        <v>196</v>
      </c>
      <c r="F10" s="9">
        <v>11</v>
      </c>
      <c r="G10" s="9">
        <v>58</v>
      </c>
      <c r="H10" s="9">
        <v>25</v>
      </c>
      <c r="I10" s="41">
        <v>10</v>
      </c>
      <c r="L10" s="40" t="s">
        <v>56</v>
      </c>
      <c r="M10" s="9">
        <v>0</v>
      </c>
      <c r="N10" s="9">
        <v>455</v>
      </c>
      <c r="O10" s="9">
        <v>0</v>
      </c>
      <c r="P10" s="41">
        <v>194</v>
      </c>
      <c r="Q10" s="9">
        <v>11</v>
      </c>
      <c r="R10" s="9">
        <v>58</v>
      </c>
      <c r="S10" s="9">
        <v>25</v>
      </c>
      <c r="T10" s="41">
        <v>10</v>
      </c>
      <c r="AB10" s="566" t="s">
        <v>167</v>
      </c>
      <c r="AC10" s="46" t="s">
        <v>9</v>
      </c>
      <c r="AD10" s="46">
        <v>1.25</v>
      </c>
      <c r="AE10" s="47">
        <v>1.25</v>
      </c>
    </row>
    <row r="11" spans="1:31" ht="32">
      <c r="A11" s="40" t="s">
        <v>57</v>
      </c>
      <c r="B11" s="9">
        <v>0</v>
      </c>
      <c r="C11" s="9">
        <v>117</v>
      </c>
      <c r="D11" s="9">
        <v>0</v>
      </c>
      <c r="E11" s="41">
        <v>31</v>
      </c>
      <c r="F11" s="9">
        <v>22</v>
      </c>
      <c r="G11" s="9">
        <v>64</v>
      </c>
      <c r="H11" s="9">
        <v>55</v>
      </c>
      <c r="I11" s="41">
        <v>27</v>
      </c>
      <c r="L11" s="40" t="s">
        <v>57</v>
      </c>
      <c r="M11" s="9">
        <v>0</v>
      </c>
      <c r="N11" s="9">
        <v>116</v>
      </c>
      <c r="O11" s="9">
        <v>0</v>
      </c>
      <c r="P11" s="41">
        <v>31</v>
      </c>
      <c r="Q11" s="9">
        <v>21</v>
      </c>
      <c r="R11" s="9">
        <v>63</v>
      </c>
      <c r="S11" s="9">
        <v>54</v>
      </c>
      <c r="T11" s="41">
        <v>27</v>
      </c>
      <c r="AB11" s="565"/>
      <c r="AC11" s="46" t="s">
        <v>10</v>
      </c>
      <c r="AD11" s="46">
        <v>1.47</v>
      </c>
      <c r="AE11" s="47">
        <v>1.73</v>
      </c>
    </row>
    <row r="12" spans="1:31" ht="32">
      <c r="A12" s="40" t="s">
        <v>58</v>
      </c>
      <c r="B12" s="9">
        <v>0</v>
      </c>
      <c r="C12" s="9">
        <v>32</v>
      </c>
      <c r="D12" s="9">
        <v>0</v>
      </c>
      <c r="E12" s="41">
        <v>7</v>
      </c>
      <c r="F12" s="9">
        <v>53</v>
      </c>
      <c r="G12" s="9">
        <v>84</v>
      </c>
      <c r="H12" s="9">
        <v>83</v>
      </c>
      <c r="I12" s="41">
        <v>55</v>
      </c>
      <c r="L12" s="40" t="s">
        <v>58</v>
      </c>
      <c r="M12" s="9">
        <v>0</v>
      </c>
      <c r="N12" s="9">
        <v>32</v>
      </c>
      <c r="O12" s="9">
        <v>0</v>
      </c>
      <c r="P12" s="41">
        <v>7</v>
      </c>
      <c r="Q12" s="9">
        <v>53</v>
      </c>
      <c r="R12" s="9">
        <v>84</v>
      </c>
      <c r="S12" s="9">
        <v>82</v>
      </c>
      <c r="T12" s="41">
        <v>54</v>
      </c>
      <c r="AB12" s="566" t="s">
        <v>168</v>
      </c>
      <c r="AC12" s="46" t="s">
        <v>9</v>
      </c>
      <c r="AD12" s="46">
        <v>1.35</v>
      </c>
      <c r="AE12" s="47">
        <v>1.4</v>
      </c>
    </row>
    <row r="13" spans="1:31" ht="32">
      <c r="A13" s="40" t="s">
        <v>59</v>
      </c>
      <c r="B13" s="9">
        <v>0</v>
      </c>
      <c r="C13" s="9">
        <v>6</v>
      </c>
      <c r="D13" s="9">
        <v>0</v>
      </c>
      <c r="E13" s="41">
        <v>0</v>
      </c>
      <c r="F13" s="9">
        <v>69</v>
      </c>
      <c r="G13" s="9">
        <v>84</v>
      </c>
      <c r="H13" s="9">
        <v>87</v>
      </c>
      <c r="I13" s="41">
        <v>78</v>
      </c>
      <c r="L13" s="40" t="s">
        <v>59</v>
      </c>
      <c r="M13" s="9">
        <v>0</v>
      </c>
      <c r="N13" s="9">
        <v>6</v>
      </c>
      <c r="O13" s="9">
        <v>0</v>
      </c>
      <c r="P13" s="41">
        <v>0</v>
      </c>
      <c r="Q13" s="9">
        <v>68</v>
      </c>
      <c r="R13" s="9">
        <v>84</v>
      </c>
      <c r="S13" s="9">
        <v>86</v>
      </c>
      <c r="T13" s="41">
        <v>77</v>
      </c>
      <c r="AB13" s="565"/>
      <c r="AC13" s="46" t="s">
        <v>10</v>
      </c>
      <c r="AD13" s="46">
        <v>1.6</v>
      </c>
      <c r="AE13" s="47">
        <v>1.73</v>
      </c>
    </row>
    <row r="14" spans="1:31" ht="32">
      <c r="A14" s="40" t="s">
        <v>60</v>
      </c>
      <c r="B14" s="9">
        <v>0</v>
      </c>
      <c r="C14" s="9">
        <v>0</v>
      </c>
      <c r="D14" s="9">
        <v>2</v>
      </c>
      <c r="E14" s="41">
        <v>0</v>
      </c>
      <c r="F14" s="9">
        <v>74</v>
      </c>
      <c r="G14" s="9">
        <v>89</v>
      </c>
      <c r="H14" s="9">
        <v>88</v>
      </c>
      <c r="I14" s="41">
        <v>83</v>
      </c>
      <c r="L14" s="40" t="s">
        <v>60</v>
      </c>
      <c r="M14" s="9">
        <v>0</v>
      </c>
      <c r="N14" s="9">
        <v>0</v>
      </c>
      <c r="O14" s="9">
        <v>2</v>
      </c>
      <c r="P14" s="41">
        <v>0</v>
      </c>
      <c r="Q14" s="9">
        <v>73</v>
      </c>
      <c r="R14" s="9">
        <v>89</v>
      </c>
      <c r="S14" s="9">
        <v>87</v>
      </c>
      <c r="T14" s="41">
        <v>82</v>
      </c>
      <c r="AB14" s="566" t="s">
        <v>47</v>
      </c>
      <c r="AC14" s="46" t="s">
        <v>9</v>
      </c>
      <c r="AD14" s="46">
        <v>1.33</v>
      </c>
      <c r="AE14" s="47">
        <v>1.55</v>
      </c>
    </row>
    <row r="15" spans="1:31" ht="32">
      <c r="A15" s="40" t="s">
        <v>61</v>
      </c>
      <c r="B15" s="9">
        <v>0</v>
      </c>
      <c r="C15" s="9">
        <v>0</v>
      </c>
      <c r="D15" s="9">
        <v>8</v>
      </c>
      <c r="E15" s="41">
        <v>0</v>
      </c>
      <c r="F15" s="9">
        <v>95</v>
      </c>
      <c r="G15" s="9">
        <v>100</v>
      </c>
      <c r="H15" s="9">
        <v>102</v>
      </c>
      <c r="I15" s="41">
        <v>94</v>
      </c>
      <c r="L15" s="40" t="s">
        <v>61</v>
      </c>
      <c r="M15" s="9">
        <v>0</v>
      </c>
      <c r="N15" s="9">
        <v>0</v>
      </c>
      <c r="O15" s="9">
        <v>8</v>
      </c>
      <c r="P15" s="41">
        <v>0</v>
      </c>
      <c r="Q15" s="9">
        <v>95</v>
      </c>
      <c r="R15" s="9">
        <v>99</v>
      </c>
      <c r="S15" s="9">
        <v>102</v>
      </c>
      <c r="T15" s="41">
        <v>94</v>
      </c>
      <c r="AB15" s="565"/>
      <c r="AC15" s="46" t="s">
        <v>10</v>
      </c>
      <c r="AD15" s="46">
        <v>1.43</v>
      </c>
      <c r="AE15" s="47">
        <v>1.54</v>
      </c>
    </row>
    <row r="16" spans="1:31" ht="32">
      <c r="A16" s="40" t="s">
        <v>62</v>
      </c>
      <c r="B16" s="9">
        <v>0</v>
      </c>
      <c r="C16" s="9">
        <v>0</v>
      </c>
      <c r="D16" s="9">
        <v>14</v>
      </c>
      <c r="E16" s="41">
        <v>0</v>
      </c>
      <c r="F16" s="9">
        <v>106</v>
      </c>
      <c r="G16" s="9">
        <v>95</v>
      </c>
      <c r="H16" s="9">
        <v>114</v>
      </c>
      <c r="I16" s="41">
        <v>103</v>
      </c>
      <c r="L16" s="40" t="s">
        <v>62</v>
      </c>
      <c r="M16" s="9">
        <v>0</v>
      </c>
      <c r="N16" s="9">
        <v>0</v>
      </c>
      <c r="O16" s="9">
        <v>14</v>
      </c>
      <c r="P16" s="41">
        <v>0</v>
      </c>
      <c r="Q16" s="9">
        <v>105</v>
      </c>
      <c r="R16" s="9">
        <v>95</v>
      </c>
      <c r="S16" s="9">
        <v>113</v>
      </c>
      <c r="T16" s="41">
        <v>103</v>
      </c>
      <c r="AB16" s="566" t="s">
        <v>169</v>
      </c>
      <c r="AC16" s="46" t="s">
        <v>9</v>
      </c>
      <c r="AD16" s="46">
        <v>1.33</v>
      </c>
      <c r="AE16" s="47">
        <v>1.55</v>
      </c>
    </row>
    <row r="17" spans="1:64" ht="32">
      <c r="A17" s="40" t="s">
        <v>63</v>
      </c>
      <c r="B17" s="9">
        <v>0</v>
      </c>
      <c r="C17" s="9">
        <v>0</v>
      </c>
      <c r="D17" s="9">
        <v>26</v>
      </c>
      <c r="E17" s="41">
        <v>0</v>
      </c>
      <c r="F17" s="9">
        <v>110</v>
      </c>
      <c r="G17" s="9">
        <v>84</v>
      </c>
      <c r="H17" s="9">
        <v>110</v>
      </c>
      <c r="I17" s="41">
        <v>107</v>
      </c>
      <c r="L17" s="40" t="s">
        <v>63</v>
      </c>
      <c r="M17" s="9">
        <v>0</v>
      </c>
      <c r="N17" s="9">
        <v>0</v>
      </c>
      <c r="O17" s="9">
        <v>26</v>
      </c>
      <c r="P17" s="41">
        <v>0</v>
      </c>
      <c r="Q17" s="9">
        <v>110</v>
      </c>
      <c r="R17" s="9">
        <v>84</v>
      </c>
      <c r="S17" s="9">
        <v>109</v>
      </c>
      <c r="T17" s="41">
        <v>106</v>
      </c>
      <c r="AB17" s="565"/>
      <c r="AC17" s="46" t="s">
        <v>10</v>
      </c>
      <c r="AD17" s="46">
        <v>1.43</v>
      </c>
      <c r="AE17" s="47">
        <v>1.54</v>
      </c>
    </row>
    <row r="18" spans="1:64" ht="32">
      <c r="A18" s="40" t="s">
        <v>64</v>
      </c>
      <c r="B18" s="9">
        <v>10</v>
      </c>
      <c r="C18" s="9">
        <v>0</v>
      </c>
      <c r="D18" s="9">
        <v>47</v>
      </c>
      <c r="E18" s="41">
        <v>0</v>
      </c>
      <c r="F18" s="9">
        <v>120</v>
      </c>
      <c r="G18" s="9">
        <v>85</v>
      </c>
      <c r="H18" s="9">
        <v>107</v>
      </c>
      <c r="I18" s="41">
        <v>117</v>
      </c>
      <c r="L18" s="40" t="s">
        <v>64</v>
      </c>
      <c r="M18" s="9">
        <v>10</v>
      </c>
      <c r="N18" s="9">
        <v>0</v>
      </c>
      <c r="O18" s="9">
        <v>46</v>
      </c>
      <c r="P18" s="41">
        <v>0</v>
      </c>
      <c r="Q18" s="9">
        <v>120</v>
      </c>
      <c r="R18" s="9">
        <v>83</v>
      </c>
      <c r="S18" s="9">
        <v>108</v>
      </c>
      <c r="T18" s="41">
        <v>117</v>
      </c>
      <c r="AB18" s="566" t="s">
        <v>170</v>
      </c>
      <c r="AC18" s="46" t="s">
        <v>9</v>
      </c>
      <c r="AD18" s="46">
        <v>1.33</v>
      </c>
      <c r="AE18" s="47">
        <v>1.55</v>
      </c>
    </row>
    <row r="19" spans="1:64" ht="32">
      <c r="A19" s="40" t="s">
        <v>65</v>
      </c>
      <c r="B19" s="9">
        <v>62</v>
      </c>
      <c r="C19" s="9">
        <v>0</v>
      </c>
      <c r="D19" s="9">
        <v>83</v>
      </c>
      <c r="E19" s="41">
        <v>0</v>
      </c>
      <c r="F19" s="9">
        <v>95</v>
      </c>
      <c r="G19" s="9">
        <v>80</v>
      </c>
      <c r="H19" s="9">
        <v>87</v>
      </c>
      <c r="I19" s="41">
        <v>113</v>
      </c>
      <c r="L19" s="40" t="s">
        <v>65</v>
      </c>
      <c r="M19" s="9">
        <v>61</v>
      </c>
      <c r="N19" s="9">
        <v>0</v>
      </c>
      <c r="O19" s="9">
        <v>81</v>
      </c>
      <c r="P19" s="41">
        <v>0</v>
      </c>
      <c r="Q19" s="9">
        <v>95</v>
      </c>
      <c r="R19" s="9">
        <v>78</v>
      </c>
      <c r="S19" s="9">
        <v>86</v>
      </c>
      <c r="T19" s="41">
        <v>113</v>
      </c>
      <c r="AB19" s="565"/>
      <c r="AC19" s="46" t="s">
        <v>10</v>
      </c>
      <c r="AD19" s="46">
        <v>1.43</v>
      </c>
      <c r="AE19" s="47">
        <v>1.54</v>
      </c>
    </row>
    <row r="20" spans="1:64" ht="32">
      <c r="A20" s="40" t="s">
        <v>66</v>
      </c>
      <c r="B20" s="9">
        <v>253</v>
      </c>
      <c r="C20" s="9">
        <v>0</v>
      </c>
      <c r="D20" s="9">
        <v>91</v>
      </c>
      <c r="E20" s="41">
        <v>0</v>
      </c>
      <c r="F20" s="9">
        <v>100</v>
      </c>
      <c r="G20" s="9">
        <v>58</v>
      </c>
      <c r="H20" s="9">
        <v>75</v>
      </c>
      <c r="I20" s="41">
        <v>82</v>
      </c>
      <c r="L20" s="40" t="s">
        <v>66</v>
      </c>
      <c r="M20" s="9">
        <v>253</v>
      </c>
      <c r="N20" s="9">
        <v>0</v>
      </c>
      <c r="O20" s="9">
        <v>91</v>
      </c>
      <c r="P20" s="41">
        <v>0</v>
      </c>
      <c r="Q20" s="9">
        <v>99</v>
      </c>
      <c r="R20" s="9">
        <v>58</v>
      </c>
      <c r="S20" s="9">
        <v>75</v>
      </c>
      <c r="T20" s="41">
        <v>81</v>
      </c>
      <c r="AB20" s="566" t="s">
        <v>171</v>
      </c>
      <c r="AC20" s="46" t="s">
        <v>9</v>
      </c>
      <c r="AD20" s="46">
        <v>1.27</v>
      </c>
      <c r="AE20" s="47">
        <v>1.35</v>
      </c>
    </row>
    <row r="21" spans="1:64" ht="32.5" thickBot="1">
      <c r="A21" s="40" t="s">
        <v>67</v>
      </c>
      <c r="B21" s="9">
        <v>335</v>
      </c>
      <c r="C21" s="9">
        <v>0</v>
      </c>
      <c r="D21" s="9">
        <v>65</v>
      </c>
      <c r="E21" s="41">
        <v>0</v>
      </c>
      <c r="F21" s="9">
        <v>74</v>
      </c>
      <c r="G21" s="9">
        <v>31</v>
      </c>
      <c r="H21" s="9">
        <v>69</v>
      </c>
      <c r="I21" s="41">
        <v>79</v>
      </c>
      <c r="L21" s="40" t="s">
        <v>67</v>
      </c>
      <c r="M21" s="9">
        <v>333</v>
      </c>
      <c r="N21" s="9">
        <v>0</v>
      </c>
      <c r="O21" s="9">
        <v>65</v>
      </c>
      <c r="P21" s="41">
        <v>0</v>
      </c>
      <c r="Q21" s="9">
        <v>73</v>
      </c>
      <c r="R21" s="9">
        <v>31</v>
      </c>
      <c r="S21" s="9">
        <v>69</v>
      </c>
      <c r="T21" s="41">
        <v>78</v>
      </c>
      <c r="AB21" s="572"/>
      <c r="AC21" s="48" t="s">
        <v>10</v>
      </c>
      <c r="AD21" s="48">
        <v>1.27</v>
      </c>
      <c r="AE21" s="49">
        <v>1.35</v>
      </c>
    </row>
    <row r="22" spans="1:64" ht="32.5" thickTop="1">
      <c r="A22" s="40" t="s">
        <v>68</v>
      </c>
      <c r="B22" s="9">
        <v>277</v>
      </c>
      <c r="C22" s="9">
        <v>0</v>
      </c>
      <c r="D22" s="9">
        <v>48</v>
      </c>
      <c r="E22" s="41">
        <v>0</v>
      </c>
      <c r="F22" s="9">
        <v>31</v>
      </c>
      <c r="G22" s="9">
        <v>16</v>
      </c>
      <c r="H22" s="9">
        <v>30</v>
      </c>
      <c r="I22" s="41">
        <v>61</v>
      </c>
      <c r="L22" s="40" t="s">
        <v>68</v>
      </c>
      <c r="M22" s="9">
        <v>275</v>
      </c>
      <c r="N22" s="9">
        <v>0</v>
      </c>
      <c r="O22" s="9">
        <v>48</v>
      </c>
      <c r="P22" s="41">
        <v>0</v>
      </c>
      <c r="Q22" s="9">
        <v>31</v>
      </c>
      <c r="R22" s="9">
        <v>16</v>
      </c>
      <c r="S22" s="9">
        <v>30</v>
      </c>
      <c r="T22" s="41">
        <v>61</v>
      </c>
    </row>
    <row r="23" spans="1:64">
      <c r="A23" s="40" t="s">
        <v>162</v>
      </c>
      <c r="B23" s="9">
        <v>144</v>
      </c>
      <c r="C23" s="9">
        <v>0</v>
      </c>
      <c r="D23" s="9">
        <v>39</v>
      </c>
      <c r="E23" s="41">
        <v>0</v>
      </c>
      <c r="F23" s="9">
        <v>16</v>
      </c>
      <c r="G23" s="9">
        <v>5</v>
      </c>
      <c r="H23" s="9">
        <v>2</v>
      </c>
      <c r="I23" s="41">
        <v>25</v>
      </c>
      <c r="L23" s="40" t="s">
        <v>162</v>
      </c>
      <c r="M23" s="9">
        <v>143</v>
      </c>
      <c r="N23" s="9">
        <v>0</v>
      </c>
      <c r="O23" s="9">
        <v>39</v>
      </c>
      <c r="P23" s="41">
        <v>0</v>
      </c>
      <c r="Q23" s="9">
        <v>16</v>
      </c>
      <c r="R23" s="9">
        <v>5</v>
      </c>
      <c r="S23" s="9">
        <v>2</v>
      </c>
      <c r="T23" s="41">
        <v>25</v>
      </c>
    </row>
    <row r="24" spans="1:64" ht="17.5" thickBot="1">
      <c r="A24" s="42" t="s">
        <v>160</v>
      </c>
      <c r="B24" s="17">
        <v>1081</v>
      </c>
      <c r="C24" s="17">
        <v>1081</v>
      </c>
      <c r="D24" s="16">
        <v>423</v>
      </c>
      <c r="E24" s="55">
        <v>423</v>
      </c>
      <c r="F24" s="16">
        <v>981</v>
      </c>
      <c r="G24" s="16">
        <v>981</v>
      </c>
      <c r="H24" s="17">
        <v>1034</v>
      </c>
      <c r="I24" s="43">
        <v>1034</v>
      </c>
      <c r="L24" s="42" t="s">
        <v>160</v>
      </c>
      <c r="M24" s="17">
        <v>1075</v>
      </c>
      <c r="N24" s="17">
        <v>1075</v>
      </c>
      <c r="O24" s="16">
        <v>420</v>
      </c>
      <c r="P24" s="55">
        <v>420</v>
      </c>
      <c r="Q24" s="16">
        <v>975</v>
      </c>
      <c r="R24" s="16">
        <v>975</v>
      </c>
      <c r="S24" s="17">
        <v>1028</v>
      </c>
      <c r="T24" s="43">
        <v>1028</v>
      </c>
    </row>
    <row r="25" spans="1:64" ht="18" thickTop="1" thickBot="1"/>
    <row r="26" spans="1:64" ht="17.5" thickTop="1">
      <c r="A26" s="559" t="s">
        <v>39</v>
      </c>
      <c r="B26" s="562" t="s">
        <v>155</v>
      </c>
      <c r="C26" s="563"/>
      <c r="D26" s="563"/>
      <c r="E26" s="563"/>
      <c r="F26" s="563"/>
      <c r="G26" s="563"/>
      <c r="H26" s="563"/>
      <c r="I26" s="563"/>
      <c r="J26" s="563"/>
      <c r="K26" s="563"/>
      <c r="L26" s="563"/>
      <c r="N26" s="559" t="s">
        <v>39</v>
      </c>
      <c r="O26" s="562" t="s">
        <v>179</v>
      </c>
      <c r="P26" s="563"/>
      <c r="Q26" s="563"/>
      <c r="R26" s="563"/>
      <c r="S26" s="563"/>
      <c r="T26" s="563"/>
      <c r="U26" s="563"/>
      <c r="V26" s="563"/>
      <c r="W26" s="563"/>
      <c r="X26" s="563"/>
      <c r="Y26" s="563"/>
      <c r="AA26" s="559" t="s">
        <v>39</v>
      </c>
      <c r="AB26" s="562" t="s">
        <v>183</v>
      </c>
      <c r="AC26" s="563"/>
      <c r="AD26" s="563"/>
      <c r="AE26" s="563"/>
      <c r="AF26" s="563"/>
      <c r="AG26" s="563"/>
      <c r="AH26" s="563"/>
      <c r="AI26" s="563"/>
      <c r="AJ26" s="563"/>
      <c r="AK26" s="563"/>
      <c r="AL26" s="563"/>
      <c r="AN26" s="559" t="s">
        <v>39</v>
      </c>
      <c r="AO26" s="562" t="s">
        <v>184</v>
      </c>
      <c r="AP26" s="563"/>
      <c r="AQ26" s="563"/>
      <c r="AR26" s="563"/>
      <c r="AS26" s="563"/>
      <c r="AT26" s="563"/>
      <c r="AU26" s="563"/>
      <c r="AV26" s="563"/>
      <c r="AW26" s="563"/>
      <c r="AX26" s="563"/>
      <c r="AY26" s="563"/>
      <c r="BA26" s="559" t="s">
        <v>39</v>
      </c>
      <c r="BB26" s="562" t="s">
        <v>12</v>
      </c>
      <c r="BC26" s="563"/>
      <c r="BD26" s="563"/>
      <c r="BE26" s="563"/>
      <c r="BF26" s="563"/>
      <c r="BG26" s="563"/>
      <c r="BH26" s="563"/>
      <c r="BI26" s="563"/>
      <c r="BJ26" s="563"/>
      <c r="BK26" s="563"/>
      <c r="BL26" s="563"/>
    </row>
    <row r="27" spans="1:64">
      <c r="A27" s="641"/>
      <c r="B27" s="555" t="s">
        <v>156</v>
      </c>
      <c r="C27" s="556"/>
      <c r="D27" s="555" t="s">
        <v>157</v>
      </c>
      <c r="E27" s="556"/>
      <c r="F27" s="555" t="s">
        <v>158</v>
      </c>
      <c r="G27" s="556"/>
      <c r="H27" s="555" t="s">
        <v>159</v>
      </c>
      <c r="I27" s="556"/>
      <c r="J27" s="555" t="s">
        <v>160</v>
      </c>
      <c r="K27" s="557"/>
      <c r="L27" s="557"/>
      <c r="N27" s="641"/>
      <c r="O27" s="555" t="s">
        <v>156</v>
      </c>
      <c r="P27" s="556"/>
      <c r="Q27" s="555" t="s">
        <v>157</v>
      </c>
      <c r="R27" s="556"/>
      <c r="S27" s="555" t="s">
        <v>158</v>
      </c>
      <c r="T27" s="556"/>
      <c r="U27" s="555" t="s">
        <v>159</v>
      </c>
      <c r="V27" s="556"/>
      <c r="W27" s="555" t="s">
        <v>160</v>
      </c>
      <c r="X27" s="557"/>
      <c r="Y27" s="557"/>
      <c r="AA27" s="641"/>
      <c r="AB27" s="555" t="s">
        <v>156</v>
      </c>
      <c r="AC27" s="556"/>
      <c r="AD27" s="555" t="s">
        <v>157</v>
      </c>
      <c r="AE27" s="556"/>
      <c r="AF27" s="555" t="s">
        <v>158</v>
      </c>
      <c r="AG27" s="556"/>
      <c r="AH27" s="555" t="s">
        <v>159</v>
      </c>
      <c r="AI27" s="556"/>
      <c r="AJ27" s="555" t="s">
        <v>160</v>
      </c>
      <c r="AK27" s="557"/>
      <c r="AL27" s="557"/>
      <c r="AN27" s="641"/>
      <c r="AO27" s="555" t="s">
        <v>156</v>
      </c>
      <c r="AP27" s="556"/>
      <c r="AQ27" s="555" t="s">
        <v>157</v>
      </c>
      <c r="AR27" s="556"/>
      <c r="AS27" s="555" t="s">
        <v>158</v>
      </c>
      <c r="AT27" s="556"/>
      <c r="AU27" s="555" t="s">
        <v>159</v>
      </c>
      <c r="AV27" s="556"/>
      <c r="AW27" s="555" t="s">
        <v>160</v>
      </c>
      <c r="AX27" s="557"/>
      <c r="AY27" s="557"/>
      <c r="BA27" s="641"/>
      <c r="BB27" s="555" t="s">
        <v>156</v>
      </c>
      <c r="BC27" s="556"/>
      <c r="BD27" s="555" t="s">
        <v>157</v>
      </c>
      <c r="BE27" s="556"/>
      <c r="BF27" s="555" t="s">
        <v>158</v>
      </c>
      <c r="BG27" s="556"/>
      <c r="BH27" s="555" t="s">
        <v>159</v>
      </c>
      <c r="BI27" s="556"/>
      <c r="BJ27" s="555" t="s">
        <v>160</v>
      </c>
      <c r="BK27" s="557"/>
      <c r="BL27" s="557"/>
    </row>
    <row r="28" spans="1:64" ht="17.5" thickBot="1">
      <c r="A28" s="561"/>
      <c r="B28" s="36" t="s">
        <v>40</v>
      </c>
      <c r="C28" s="36" t="s">
        <v>41</v>
      </c>
      <c r="D28" s="36" t="s">
        <v>40</v>
      </c>
      <c r="E28" s="36" t="s">
        <v>41</v>
      </c>
      <c r="F28" s="36" t="s">
        <v>40</v>
      </c>
      <c r="G28" s="36" t="s">
        <v>41</v>
      </c>
      <c r="H28" s="36" t="s">
        <v>40</v>
      </c>
      <c r="I28" s="36" t="s">
        <v>41</v>
      </c>
      <c r="J28" s="36" t="s">
        <v>40</v>
      </c>
      <c r="K28" s="36" t="s">
        <v>41</v>
      </c>
      <c r="L28" s="37" t="s">
        <v>21</v>
      </c>
      <c r="N28" s="561"/>
      <c r="O28" s="36" t="s">
        <v>40</v>
      </c>
      <c r="P28" s="36" t="s">
        <v>41</v>
      </c>
      <c r="Q28" s="36" t="s">
        <v>40</v>
      </c>
      <c r="R28" s="36" t="s">
        <v>41</v>
      </c>
      <c r="S28" s="36" t="s">
        <v>40</v>
      </c>
      <c r="T28" s="36" t="s">
        <v>41</v>
      </c>
      <c r="U28" s="36" t="s">
        <v>40</v>
      </c>
      <c r="V28" s="36" t="s">
        <v>41</v>
      </c>
      <c r="W28" s="36" t="s">
        <v>40</v>
      </c>
      <c r="X28" s="36" t="s">
        <v>41</v>
      </c>
      <c r="Y28" s="37" t="s">
        <v>21</v>
      </c>
      <c r="AA28" s="561"/>
      <c r="AB28" s="36" t="s">
        <v>40</v>
      </c>
      <c r="AC28" s="36" t="s">
        <v>41</v>
      </c>
      <c r="AD28" s="36" t="s">
        <v>40</v>
      </c>
      <c r="AE28" s="36" t="s">
        <v>41</v>
      </c>
      <c r="AF28" s="36" t="s">
        <v>40</v>
      </c>
      <c r="AG28" s="36" t="s">
        <v>41</v>
      </c>
      <c r="AH28" s="36" t="s">
        <v>40</v>
      </c>
      <c r="AI28" s="36" t="s">
        <v>41</v>
      </c>
      <c r="AJ28" s="36" t="s">
        <v>40</v>
      </c>
      <c r="AK28" s="36" t="s">
        <v>41</v>
      </c>
      <c r="AL28" s="37" t="s">
        <v>21</v>
      </c>
      <c r="AN28" s="561"/>
      <c r="AO28" s="36" t="s">
        <v>40</v>
      </c>
      <c r="AP28" s="36" t="s">
        <v>41</v>
      </c>
      <c r="AQ28" s="36" t="s">
        <v>40</v>
      </c>
      <c r="AR28" s="36" t="s">
        <v>41</v>
      </c>
      <c r="AS28" s="36" t="s">
        <v>40</v>
      </c>
      <c r="AT28" s="36" t="s">
        <v>41</v>
      </c>
      <c r="AU28" s="36" t="s">
        <v>40</v>
      </c>
      <c r="AV28" s="36" t="s">
        <v>41</v>
      </c>
      <c r="AW28" s="36" t="s">
        <v>40</v>
      </c>
      <c r="AX28" s="36" t="s">
        <v>41</v>
      </c>
      <c r="AY28" s="37" t="s">
        <v>21</v>
      </c>
      <c r="BA28" s="561"/>
      <c r="BB28" s="36" t="s">
        <v>40</v>
      </c>
      <c r="BC28" s="36" t="s">
        <v>41</v>
      </c>
      <c r="BD28" s="36" t="s">
        <v>40</v>
      </c>
      <c r="BE28" s="36" t="s">
        <v>41</v>
      </c>
      <c r="BF28" s="36" t="s">
        <v>40</v>
      </c>
      <c r="BG28" s="36" t="s">
        <v>41</v>
      </c>
      <c r="BH28" s="36" t="s">
        <v>40</v>
      </c>
      <c r="BI28" s="36" t="s">
        <v>41</v>
      </c>
      <c r="BJ28" s="36" t="s">
        <v>40</v>
      </c>
      <c r="BK28" s="36" t="s">
        <v>41</v>
      </c>
      <c r="BL28" s="37" t="s">
        <v>21</v>
      </c>
    </row>
    <row r="29" spans="1:64" ht="17.5" thickTop="1">
      <c r="A29" s="38" t="s">
        <v>161</v>
      </c>
      <c r="B29" s="6">
        <v>0</v>
      </c>
      <c r="C29" s="6">
        <v>49</v>
      </c>
      <c r="D29" s="6">
        <v>0</v>
      </c>
      <c r="E29" s="6">
        <v>8</v>
      </c>
      <c r="F29" s="6">
        <v>0</v>
      </c>
      <c r="G29" s="6">
        <v>61</v>
      </c>
      <c r="H29" s="6">
        <v>0</v>
      </c>
      <c r="I29" s="6">
        <v>34</v>
      </c>
      <c r="J29" s="6">
        <v>0</v>
      </c>
      <c r="K29" s="6">
        <v>152</v>
      </c>
      <c r="L29" s="39">
        <v>152</v>
      </c>
      <c r="N29" s="38" t="s">
        <v>161</v>
      </c>
      <c r="O29" s="6">
        <v>0</v>
      </c>
      <c r="P29" s="6">
        <v>50</v>
      </c>
      <c r="Q29" s="6">
        <v>0</v>
      </c>
      <c r="R29" s="6">
        <v>8</v>
      </c>
      <c r="S29" s="6">
        <v>0</v>
      </c>
      <c r="T29" s="6">
        <v>61</v>
      </c>
      <c r="U29" s="6">
        <v>0</v>
      </c>
      <c r="V29" s="6">
        <v>33</v>
      </c>
      <c r="W29" s="6">
        <v>0</v>
      </c>
      <c r="X29" s="6">
        <v>152</v>
      </c>
      <c r="Y29" s="39">
        <v>152</v>
      </c>
      <c r="AA29" s="38" t="s">
        <v>161</v>
      </c>
      <c r="AB29" s="6">
        <v>0</v>
      </c>
      <c r="AC29" s="6">
        <v>41</v>
      </c>
      <c r="AD29" s="6">
        <v>0</v>
      </c>
      <c r="AE29" s="6">
        <v>7</v>
      </c>
      <c r="AF29" s="6">
        <v>0</v>
      </c>
      <c r="AG29" s="6">
        <v>49</v>
      </c>
      <c r="AH29" s="6">
        <v>0</v>
      </c>
      <c r="AI29" s="6">
        <v>27</v>
      </c>
      <c r="AJ29" s="6">
        <v>0</v>
      </c>
      <c r="AK29" s="6">
        <v>124</v>
      </c>
      <c r="AL29" s="39">
        <v>124</v>
      </c>
      <c r="AN29" s="38" t="s">
        <v>161</v>
      </c>
      <c r="AO29" s="6">
        <v>0</v>
      </c>
      <c r="AP29" s="44">
        <v>41</v>
      </c>
      <c r="AQ29" s="6">
        <v>0</v>
      </c>
      <c r="AR29" s="44">
        <v>7</v>
      </c>
      <c r="AS29" s="6">
        <v>0</v>
      </c>
      <c r="AT29" s="44">
        <v>51</v>
      </c>
      <c r="AU29" s="6">
        <v>0</v>
      </c>
      <c r="AV29" s="44">
        <v>28</v>
      </c>
      <c r="AW29" s="6">
        <v>0</v>
      </c>
      <c r="AX29" s="44">
        <v>127</v>
      </c>
      <c r="AY29" s="45">
        <v>127</v>
      </c>
      <c r="BA29" s="38" t="s">
        <v>161</v>
      </c>
      <c r="BB29" s="6">
        <v>0</v>
      </c>
      <c r="BC29" s="44">
        <v>6</v>
      </c>
      <c r="BD29" s="6">
        <v>0</v>
      </c>
      <c r="BE29" s="6">
        <v>0</v>
      </c>
      <c r="BF29" s="6">
        <v>0</v>
      </c>
      <c r="BG29" s="44">
        <v>8</v>
      </c>
      <c r="BH29" s="6">
        <v>0</v>
      </c>
      <c r="BI29" s="44">
        <v>4</v>
      </c>
      <c r="BJ29" s="6">
        <v>0</v>
      </c>
      <c r="BK29" s="44">
        <v>18</v>
      </c>
      <c r="BL29" s="45">
        <v>18</v>
      </c>
    </row>
    <row r="30" spans="1:64" ht="32">
      <c r="A30" s="40" t="s">
        <v>55</v>
      </c>
      <c r="B30" s="9">
        <v>1</v>
      </c>
      <c r="C30" s="9">
        <v>166</v>
      </c>
      <c r="D30" s="9">
        <v>0</v>
      </c>
      <c r="E30" s="9">
        <v>28</v>
      </c>
      <c r="F30" s="9">
        <v>3</v>
      </c>
      <c r="G30" s="9">
        <v>220</v>
      </c>
      <c r="H30" s="9">
        <v>1</v>
      </c>
      <c r="I30" s="9">
        <v>140</v>
      </c>
      <c r="J30" s="9">
        <v>5</v>
      </c>
      <c r="K30" s="9">
        <v>554</v>
      </c>
      <c r="L30" s="41">
        <v>559</v>
      </c>
      <c r="N30" s="40" t="s">
        <v>55</v>
      </c>
      <c r="O30" s="9">
        <v>1</v>
      </c>
      <c r="P30" s="9">
        <v>165</v>
      </c>
      <c r="Q30" s="9">
        <v>0</v>
      </c>
      <c r="R30" s="9">
        <v>28</v>
      </c>
      <c r="S30" s="9">
        <v>3</v>
      </c>
      <c r="T30" s="9">
        <v>219</v>
      </c>
      <c r="U30" s="9">
        <v>1</v>
      </c>
      <c r="V30" s="9">
        <v>138</v>
      </c>
      <c r="W30" s="9">
        <v>5</v>
      </c>
      <c r="X30" s="9">
        <v>550</v>
      </c>
      <c r="Y30" s="41">
        <v>555</v>
      </c>
      <c r="AA30" s="40" t="s">
        <v>55</v>
      </c>
      <c r="AB30" s="9">
        <v>1</v>
      </c>
      <c r="AC30" s="9">
        <v>135</v>
      </c>
      <c r="AD30" s="9">
        <v>0</v>
      </c>
      <c r="AE30" s="9">
        <v>23</v>
      </c>
      <c r="AF30" s="9">
        <v>2</v>
      </c>
      <c r="AG30" s="9">
        <v>179</v>
      </c>
      <c r="AH30" s="9">
        <v>1</v>
      </c>
      <c r="AI30" s="9">
        <v>114</v>
      </c>
      <c r="AJ30" s="9">
        <v>4</v>
      </c>
      <c r="AK30" s="9">
        <v>451</v>
      </c>
      <c r="AL30" s="41">
        <v>455</v>
      </c>
      <c r="AN30" s="40" t="s">
        <v>55</v>
      </c>
      <c r="AO30" s="46">
        <v>1</v>
      </c>
      <c r="AP30" s="46">
        <v>138</v>
      </c>
      <c r="AQ30" s="9">
        <v>0</v>
      </c>
      <c r="AR30" s="46">
        <v>23</v>
      </c>
      <c r="AS30" s="46">
        <v>2</v>
      </c>
      <c r="AT30" s="46">
        <v>182</v>
      </c>
      <c r="AU30" s="46">
        <v>1</v>
      </c>
      <c r="AV30" s="46">
        <v>116</v>
      </c>
      <c r="AW30" s="46">
        <v>4</v>
      </c>
      <c r="AX30" s="46">
        <v>459</v>
      </c>
      <c r="AY30" s="47">
        <v>463</v>
      </c>
      <c r="BA30" s="40" t="s">
        <v>55</v>
      </c>
      <c r="BB30" s="9">
        <v>0</v>
      </c>
      <c r="BC30" s="46">
        <v>18</v>
      </c>
      <c r="BD30" s="9">
        <v>0</v>
      </c>
      <c r="BE30" s="46">
        <v>2</v>
      </c>
      <c r="BF30" s="9">
        <v>0</v>
      </c>
      <c r="BG30" s="46">
        <v>24</v>
      </c>
      <c r="BH30" s="9">
        <v>0</v>
      </c>
      <c r="BI30" s="46">
        <v>14</v>
      </c>
      <c r="BJ30" s="9">
        <v>0</v>
      </c>
      <c r="BK30" s="46">
        <v>58</v>
      </c>
      <c r="BL30" s="47">
        <v>58</v>
      </c>
    </row>
    <row r="31" spans="1:64" ht="32">
      <c r="A31" s="40" t="s">
        <v>56</v>
      </c>
      <c r="B31" s="9">
        <v>9</v>
      </c>
      <c r="C31" s="9">
        <v>217</v>
      </c>
      <c r="D31" s="9">
        <v>3</v>
      </c>
      <c r="E31" s="9">
        <v>37</v>
      </c>
      <c r="F31" s="9">
        <v>15</v>
      </c>
      <c r="G31" s="9">
        <v>287</v>
      </c>
      <c r="H31" s="9">
        <v>9</v>
      </c>
      <c r="I31" s="9">
        <v>180</v>
      </c>
      <c r="J31" s="9">
        <v>36</v>
      </c>
      <c r="K31" s="9">
        <v>721</v>
      </c>
      <c r="L31" s="41">
        <v>757</v>
      </c>
      <c r="N31" s="40" t="s">
        <v>56</v>
      </c>
      <c r="O31" s="9">
        <v>9</v>
      </c>
      <c r="P31" s="9">
        <v>216</v>
      </c>
      <c r="Q31" s="9">
        <v>3</v>
      </c>
      <c r="R31" s="9">
        <v>37</v>
      </c>
      <c r="S31" s="9">
        <v>15</v>
      </c>
      <c r="T31" s="9">
        <v>285</v>
      </c>
      <c r="U31" s="9">
        <v>9</v>
      </c>
      <c r="V31" s="9">
        <v>179</v>
      </c>
      <c r="W31" s="9">
        <v>36</v>
      </c>
      <c r="X31" s="9">
        <v>717</v>
      </c>
      <c r="Y31" s="41">
        <v>753</v>
      </c>
      <c r="AA31" s="40" t="s">
        <v>56</v>
      </c>
      <c r="AB31" s="9">
        <v>8</v>
      </c>
      <c r="AC31" s="9">
        <v>177</v>
      </c>
      <c r="AD31" s="9">
        <v>2</v>
      </c>
      <c r="AE31" s="9">
        <v>29</v>
      </c>
      <c r="AF31" s="9">
        <v>12</v>
      </c>
      <c r="AG31" s="9">
        <v>234</v>
      </c>
      <c r="AH31" s="9">
        <v>7</v>
      </c>
      <c r="AI31" s="9">
        <v>147</v>
      </c>
      <c r="AJ31" s="9">
        <v>29</v>
      </c>
      <c r="AK31" s="9">
        <v>587</v>
      </c>
      <c r="AL31" s="41">
        <v>616</v>
      </c>
      <c r="AN31" s="40" t="s">
        <v>56</v>
      </c>
      <c r="AO31" s="46">
        <v>8</v>
      </c>
      <c r="AP31" s="46">
        <v>180</v>
      </c>
      <c r="AQ31" s="46">
        <v>2</v>
      </c>
      <c r="AR31" s="46">
        <v>31</v>
      </c>
      <c r="AS31" s="46">
        <v>12</v>
      </c>
      <c r="AT31" s="46">
        <v>238</v>
      </c>
      <c r="AU31" s="46">
        <v>8</v>
      </c>
      <c r="AV31" s="46">
        <v>150</v>
      </c>
      <c r="AW31" s="46">
        <v>30</v>
      </c>
      <c r="AX31" s="46">
        <v>599</v>
      </c>
      <c r="AY31" s="47">
        <v>629</v>
      </c>
      <c r="BA31" s="40" t="s">
        <v>56</v>
      </c>
      <c r="BB31" s="46">
        <v>2</v>
      </c>
      <c r="BC31" s="46">
        <v>22</v>
      </c>
      <c r="BD31" s="9">
        <v>0</v>
      </c>
      <c r="BE31" s="46">
        <v>4</v>
      </c>
      <c r="BF31" s="46">
        <v>2</v>
      </c>
      <c r="BG31" s="46">
        <v>30</v>
      </c>
      <c r="BH31" s="9">
        <v>0</v>
      </c>
      <c r="BI31" s="46">
        <v>18</v>
      </c>
      <c r="BJ31" s="46">
        <v>4</v>
      </c>
      <c r="BK31" s="46">
        <v>74</v>
      </c>
      <c r="BL31" s="47">
        <v>78</v>
      </c>
    </row>
    <row r="32" spans="1:64" ht="32">
      <c r="A32" s="40" t="s">
        <v>57</v>
      </c>
      <c r="B32" s="9">
        <v>20</v>
      </c>
      <c r="C32" s="9">
        <v>74</v>
      </c>
      <c r="D32" s="9">
        <v>6</v>
      </c>
      <c r="E32" s="9">
        <v>14</v>
      </c>
      <c r="F32" s="9">
        <v>32</v>
      </c>
      <c r="G32" s="9">
        <v>97</v>
      </c>
      <c r="H32" s="9">
        <v>19</v>
      </c>
      <c r="I32" s="9">
        <v>54</v>
      </c>
      <c r="J32" s="9">
        <v>77</v>
      </c>
      <c r="K32" s="9">
        <v>239</v>
      </c>
      <c r="L32" s="41">
        <v>316</v>
      </c>
      <c r="N32" s="40" t="s">
        <v>57</v>
      </c>
      <c r="O32" s="9">
        <v>19</v>
      </c>
      <c r="P32" s="9">
        <v>74</v>
      </c>
      <c r="Q32" s="9">
        <v>6</v>
      </c>
      <c r="R32" s="9">
        <v>14</v>
      </c>
      <c r="S32" s="9">
        <v>31</v>
      </c>
      <c r="T32" s="9">
        <v>95</v>
      </c>
      <c r="U32" s="9">
        <v>19</v>
      </c>
      <c r="V32" s="9">
        <v>54</v>
      </c>
      <c r="W32" s="9">
        <v>75</v>
      </c>
      <c r="X32" s="9">
        <v>237</v>
      </c>
      <c r="Y32" s="41">
        <v>312</v>
      </c>
      <c r="AA32" s="40" t="s">
        <v>57</v>
      </c>
      <c r="AB32" s="9">
        <v>16</v>
      </c>
      <c r="AC32" s="9">
        <v>60</v>
      </c>
      <c r="AD32" s="9">
        <v>5</v>
      </c>
      <c r="AE32" s="9">
        <v>12</v>
      </c>
      <c r="AF32" s="9">
        <v>26</v>
      </c>
      <c r="AG32" s="9">
        <v>78</v>
      </c>
      <c r="AH32" s="9">
        <v>16</v>
      </c>
      <c r="AI32" s="9">
        <v>44</v>
      </c>
      <c r="AJ32" s="9">
        <v>63</v>
      </c>
      <c r="AK32" s="9">
        <v>194</v>
      </c>
      <c r="AL32" s="41">
        <v>257</v>
      </c>
      <c r="AN32" s="40" t="s">
        <v>57</v>
      </c>
      <c r="AO32" s="46">
        <v>17</v>
      </c>
      <c r="AP32" s="46">
        <v>61</v>
      </c>
      <c r="AQ32" s="46">
        <v>5</v>
      </c>
      <c r="AR32" s="46">
        <v>12</v>
      </c>
      <c r="AS32" s="46">
        <v>26</v>
      </c>
      <c r="AT32" s="46">
        <v>80</v>
      </c>
      <c r="AU32" s="46">
        <v>16</v>
      </c>
      <c r="AV32" s="46">
        <v>45</v>
      </c>
      <c r="AW32" s="46">
        <v>64</v>
      </c>
      <c r="AX32" s="46">
        <v>198</v>
      </c>
      <c r="AY32" s="47">
        <v>262</v>
      </c>
      <c r="BA32" s="40" t="s">
        <v>57</v>
      </c>
      <c r="BB32" s="46">
        <v>2</v>
      </c>
      <c r="BC32" s="46">
        <v>8</v>
      </c>
      <c r="BD32" s="9">
        <v>0</v>
      </c>
      <c r="BE32" s="46">
        <v>2</v>
      </c>
      <c r="BF32" s="46">
        <v>4</v>
      </c>
      <c r="BG32" s="46">
        <v>10</v>
      </c>
      <c r="BH32" s="46">
        <v>2</v>
      </c>
      <c r="BI32" s="46">
        <v>4</v>
      </c>
      <c r="BJ32" s="46">
        <v>8</v>
      </c>
      <c r="BK32" s="46">
        <v>24</v>
      </c>
      <c r="BL32" s="47">
        <v>32</v>
      </c>
    </row>
    <row r="33" spans="1:64" ht="32">
      <c r="A33" s="40" t="s">
        <v>58</v>
      </c>
      <c r="B33" s="9">
        <v>36</v>
      </c>
      <c r="C33" s="9">
        <v>51</v>
      </c>
      <c r="D33" s="9">
        <v>10</v>
      </c>
      <c r="E33" s="9">
        <v>12</v>
      </c>
      <c r="F33" s="9">
        <v>56</v>
      </c>
      <c r="G33" s="9">
        <v>72</v>
      </c>
      <c r="H33" s="9">
        <v>34</v>
      </c>
      <c r="I33" s="9">
        <v>43</v>
      </c>
      <c r="J33" s="9">
        <v>136</v>
      </c>
      <c r="K33" s="9">
        <v>178</v>
      </c>
      <c r="L33" s="41">
        <v>314</v>
      </c>
      <c r="N33" s="40" t="s">
        <v>58</v>
      </c>
      <c r="O33" s="9">
        <v>35</v>
      </c>
      <c r="P33" s="9">
        <v>50</v>
      </c>
      <c r="Q33" s="9">
        <v>10</v>
      </c>
      <c r="R33" s="9">
        <v>12</v>
      </c>
      <c r="S33" s="9">
        <v>56</v>
      </c>
      <c r="T33" s="9">
        <v>73</v>
      </c>
      <c r="U33" s="9">
        <v>34</v>
      </c>
      <c r="V33" s="9">
        <v>42</v>
      </c>
      <c r="W33" s="9">
        <v>135</v>
      </c>
      <c r="X33" s="9">
        <v>177</v>
      </c>
      <c r="Y33" s="41">
        <v>312</v>
      </c>
      <c r="AA33" s="40" t="s">
        <v>58</v>
      </c>
      <c r="AB33" s="9">
        <v>28</v>
      </c>
      <c r="AC33" s="9">
        <v>41</v>
      </c>
      <c r="AD33" s="9">
        <v>8</v>
      </c>
      <c r="AE33" s="9">
        <v>10</v>
      </c>
      <c r="AF33" s="9">
        <v>46</v>
      </c>
      <c r="AG33" s="9">
        <v>60</v>
      </c>
      <c r="AH33" s="9">
        <v>28</v>
      </c>
      <c r="AI33" s="9">
        <v>35</v>
      </c>
      <c r="AJ33" s="9">
        <v>110</v>
      </c>
      <c r="AK33" s="9">
        <v>146</v>
      </c>
      <c r="AL33" s="41">
        <v>256</v>
      </c>
      <c r="AN33" s="40" t="s">
        <v>58</v>
      </c>
      <c r="AO33" s="46">
        <v>30</v>
      </c>
      <c r="AP33" s="46">
        <v>42</v>
      </c>
      <c r="AQ33" s="46">
        <v>8</v>
      </c>
      <c r="AR33" s="46">
        <v>10</v>
      </c>
      <c r="AS33" s="46">
        <v>47</v>
      </c>
      <c r="AT33" s="46">
        <v>61</v>
      </c>
      <c r="AU33" s="46">
        <v>28</v>
      </c>
      <c r="AV33" s="46">
        <v>36</v>
      </c>
      <c r="AW33" s="46">
        <v>113</v>
      </c>
      <c r="AX33" s="46">
        <v>149</v>
      </c>
      <c r="AY33" s="47">
        <v>262</v>
      </c>
      <c r="BA33" s="40" t="s">
        <v>58</v>
      </c>
      <c r="BB33" s="46">
        <v>4</v>
      </c>
      <c r="BC33" s="46">
        <v>6</v>
      </c>
      <c r="BD33" s="9">
        <v>0</v>
      </c>
      <c r="BE33" s="46">
        <v>2</v>
      </c>
      <c r="BF33" s="46">
        <v>4</v>
      </c>
      <c r="BG33" s="46">
        <v>8</v>
      </c>
      <c r="BH33" s="46">
        <v>6</v>
      </c>
      <c r="BI33" s="46">
        <v>2</v>
      </c>
      <c r="BJ33" s="46">
        <v>14</v>
      </c>
      <c r="BK33" s="46">
        <v>18</v>
      </c>
      <c r="BL33" s="47">
        <v>32</v>
      </c>
    </row>
    <row r="34" spans="1:64" ht="32">
      <c r="A34" s="40" t="s">
        <v>59</v>
      </c>
      <c r="B34" s="9">
        <v>41</v>
      </c>
      <c r="C34" s="9">
        <v>45</v>
      </c>
      <c r="D34" s="9">
        <v>12</v>
      </c>
      <c r="E34" s="9">
        <v>13</v>
      </c>
      <c r="F34" s="9">
        <v>64</v>
      </c>
      <c r="G34" s="9">
        <v>69</v>
      </c>
      <c r="H34" s="9">
        <v>39</v>
      </c>
      <c r="I34" s="9">
        <v>41</v>
      </c>
      <c r="J34" s="9">
        <v>156</v>
      </c>
      <c r="K34" s="9">
        <v>168</v>
      </c>
      <c r="L34" s="41">
        <v>324</v>
      </c>
      <c r="N34" s="40" t="s">
        <v>59</v>
      </c>
      <c r="O34" s="9">
        <v>40</v>
      </c>
      <c r="P34" s="9">
        <v>45</v>
      </c>
      <c r="Q34" s="9">
        <v>11</v>
      </c>
      <c r="R34" s="9">
        <v>12</v>
      </c>
      <c r="S34" s="9">
        <v>64</v>
      </c>
      <c r="T34" s="9">
        <v>69</v>
      </c>
      <c r="U34" s="9">
        <v>39</v>
      </c>
      <c r="V34" s="9">
        <v>41</v>
      </c>
      <c r="W34" s="9">
        <v>154</v>
      </c>
      <c r="X34" s="9">
        <v>167</v>
      </c>
      <c r="Y34" s="41">
        <v>321</v>
      </c>
      <c r="AA34" s="40" t="s">
        <v>59</v>
      </c>
      <c r="AB34" s="9">
        <v>33</v>
      </c>
      <c r="AC34" s="9">
        <v>37</v>
      </c>
      <c r="AD34" s="9">
        <v>9</v>
      </c>
      <c r="AE34" s="9">
        <v>10</v>
      </c>
      <c r="AF34" s="9">
        <v>53</v>
      </c>
      <c r="AG34" s="9">
        <v>56</v>
      </c>
      <c r="AH34" s="9">
        <v>32</v>
      </c>
      <c r="AI34" s="9">
        <v>34</v>
      </c>
      <c r="AJ34" s="9">
        <v>127</v>
      </c>
      <c r="AK34" s="9">
        <v>137</v>
      </c>
      <c r="AL34" s="41">
        <v>264</v>
      </c>
      <c r="AN34" s="40" t="s">
        <v>59</v>
      </c>
      <c r="AO34" s="46">
        <v>34</v>
      </c>
      <c r="AP34" s="46">
        <v>38</v>
      </c>
      <c r="AQ34" s="46">
        <v>10</v>
      </c>
      <c r="AR34" s="46">
        <v>10</v>
      </c>
      <c r="AS34" s="46">
        <v>53</v>
      </c>
      <c r="AT34" s="46">
        <v>57</v>
      </c>
      <c r="AU34" s="46">
        <v>32</v>
      </c>
      <c r="AV34" s="46">
        <v>34</v>
      </c>
      <c r="AW34" s="46">
        <v>129</v>
      </c>
      <c r="AX34" s="46">
        <v>139</v>
      </c>
      <c r="AY34" s="47">
        <v>268</v>
      </c>
      <c r="BA34" s="40" t="s">
        <v>59</v>
      </c>
      <c r="BB34" s="46">
        <v>4</v>
      </c>
      <c r="BC34" s="46">
        <v>4</v>
      </c>
      <c r="BD34" s="46">
        <v>2</v>
      </c>
      <c r="BE34" s="46">
        <v>2</v>
      </c>
      <c r="BF34" s="46">
        <v>6</v>
      </c>
      <c r="BG34" s="46">
        <v>6</v>
      </c>
      <c r="BH34" s="46">
        <v>4</v>
      </c>
      <c r="BI34" s="46">
        <v>4</v>
      </c>
      <c r="BJ34" s="46">
        <v>16</v>
      </c>
      <c r="BK34" s="46">
        <v>16</v>
      </c>
      <c r="BL34" s="47">
        <v>32</v>
      </c>
    </row>
    <row r="35" spans="1:64" ht="32">
      <c r="A35" s="40" t="s">
        <v>60</v>
      </c>
      <c r="B35" s="9">
        <v>42</v>
      </c>
      <c r="C35" s="9">
        <v>46</v>
      </c>
      <c r="D35" s="9">
        <v>12</v>
      </c>
      <c r="E35" s="9">
        <v>13</v>
      </c>
      <c r="F35" s="9">
        <v>68</v>
      </c>
      <c r="G35" s="9">
        <v>70</v>
      </c>
      <c r="H35" s="9">
        <v>42</v>
      </c>
      <c r="I35" s="9">
        <v>43</v>
      </c>
      <c r="J35" s="9">
        <v>164</v>
      </c>
      <c r="K35" s="9">
        <v>172</v>
      </c>
      <c r="L35" s="41">
        <v>336</v>
      </c>
      <c r="N35" s="40" t="s">
        <v>60</v>
      </c>
      <c r="O35" s="9">
        <v>42</v>
      </c>
      <c r="P35" s="9">
        <v>45</v>
      </c>
      <c r="Q35" s="9">
        <v>12</v>
      </c>
      <c r="R35" s="9">
        <v>13</v>
      </c>
      <c r="S35" s="9">
        <v>67</v>
      </c>
      <c r="T35" s="9">
        <v>70</v>
      </c>
      <c r="U35" s="9">
        <v>41</v>
      </c>
      <c r="V35" s="9">
        <v>43</v>
      </c>
      <c r="W35" s="9">
        <v>162</v>
      </c>
      <c r="X35" s="9">
        <v>171</v>
      </c>
      <c r="Y35" s="41">
        <v>333</v>
      </c>
      <c r="AA35" s="40" t="s">
        <v>60</v>
      </c>
      <c r="AB35" s="9">
        <v>35</v>
      </c>
      <c r="AC35" s="9">
        <v>37</v>
      </c>
      <c r="AD35" s="9">
        <v>10</v>
      </c>
      <c r="AE35" s="9">
        <v>10</v>
      </c>
      <c r="AF35" s="9">
        <v>55</v>
      </c>
      <c r="AG35" s="9">
        <v>58</v>
      </c>
      <c r="AH35" s="9">
        <v>33</v>
      </c>
      <c r="AI35" s="9">
        <v>35</v>
      </c>
      <c r="AJ35" s="9">
        <v>133</v>
      </c>
      <c r="AK35" s="9">
        <v>140</v>
      </c>
      <c r="AL35" s="41">
        <v>273</v>
      </c>
      <c r="AN35" s="40" t="s">
        <v>60</v>
      </c>
      <c r="AO35" s="46">
        <v>35</v>
      </c>
      <c r="AP35" s="46">
        <v>38</v>
      </c>
      <c r="AQ35" s="46">
        <v>10</v>
      </c>
      <c r="AR35" s="46">
        <v>10</v>
      </c>
      <c r="AS35" s="46">
        <v>56</v>
      </c>
      <c r="AT35" s="46">
        <v>59</v>
      </c>
      <c r="AU35" s="46">
        <v>34</v>
      </c>
      <c r="AV35" s="46">
        <v>36</v>
      </c>
      <c r="AW35" s="46">
        <v>135</v>
      </c>
      <c r="AX35" s="46">
        <v>143</v>
      </c>
      <c r="AY35" s="47">
        <v>278</v>
      </c>
      <c r="BA35" s="40" t="s">
        <v>60</v>
      </c>
      <c r="BB35" s="46">
        <v>4</v>
      </c>
      <c r="BC35" s="46">
        <v>4</v>
      </c>
      <c r="BD35" s="46">
        <v>2</v>
      </c>
      <c r="BE35" s="46">
        <v>2</v>
      </c>
      <c r="BF35" s="46">
        <v>8</v>
      </c>
      <c r="BG35" s="46">
        <v>8</v>
      </c>
      <c r="BH35" s="46">
        <v>4</v>
      </c>
      <c r="BI35" s="46">
        <v>4</v>
      </c>
      <c r="BJ35" s="46">
        <v>18</v>
      </c>
      <c r="BK35" s="46">
        <v>18</v>
      </c>
      <c r="BL35" s="47">
        <v>36</v>
      </c>
    </row>
    <row r="36" spans="1:64" ht="32">
      <c r="A36" s="40" t="s">
        <v>61</v>
      </c>
      <c r="B36" s="9">
        <v>53</v>
      </c>
      <c r="C36" s="9">
        <v>51</v>
      </c>
      <c r="D36" s="9">
        <v>15</v>
      </c>
      <c r="E36" s="9">
        <v>14</v>
      </c>
      <c r="F36" s="9">
        <v>84</v>
      </c>
      <c r="G36" s="9">
        <v>80</v>
      </c>
      <c r="H36" s="9">
        <v>53</v>
      </c>
      <c r="I36" s="9">
        <v>49</v>
      </c>
      <c r="J36" s="9">
        <v>205</v>
      </c>
      <c r="K36" s="9">
        <v>194</v>
      </c>
      <c r="L36" s="41">
        <v>399</v>
      </c>
      <c r="N36" s="40" t="s">
        <v>61</v>
      </c>
      <c r="O36" s="9">
        <v>53</v>
      </c>
      <c r="P36" s="9">
        <v>51</v>
      </c>
      <c r="Q36" s="9">
        <v>15</v>
      </c>
      <c r="R36" s="9">
        <v>14</v>
      </c>
      <c r="S36" s="9">
        <v>84</v>
      </c>
      <c r="T36" s="9">
        <v>80</v>
      </c>
      <c r="U36" s="9">
        <v>53</v>
      </c>
      <c r="V36" s="9">
        <v>48</v>
      </c>
      <c r="W36" s="9">
        <v>205</v>
      </c>
      <c r="X36" s="9">
        <v>193</v>
      </c>
      <c r="Y36" s="41">
        <v>398</v>
      </c>
      <c r="AA36" s="40" t="s">
        <v>61</v>
      </c>
      <c r="AB36" s="9">
        <v>43</v>
      </c>
      <c r="AC36" s="9">
        <v>42</v>
      </c>
      <c r="AD36" s="9">
        <v>12</v>
      </c>
      <c r="AE36" s="9">
        <v>12</v>
      </c>
      <c r="AF36" s="9">
        <v>69</v>
      </c>
      <c r="AG36" s="9">
        <v>65</v>
      </c>
      <c r="AH36" s="9">
        <v>44</v>
      </c>
      <c r="AI36" s="9">
        <v>39</v>
      </c>
      <c r="AJ36" s="9">
        <v>168</v>
      </c>
      <c r="AK36" s="9">
        <v>158</v>
      </c>
      <c r="AL36" s="41">
        <v>326</v>
      </c>
      <c r="AN36" s="40" t="s">
        <v>61</v>
      </c>
      <c r="AO36" s="46">
        <v>44</v>
      </c>
      <c r="AP36" s="46">
        <v>43</v>
      </c>
      <c r="AQ36" s="46">
        <v>12</v>
      </c>
      <c r="AR36" s="46">
        <v>12</v>
      </c>
      <c r="AS36" s="46">
        <v>70</v>
      </c>
      <c r="AT36" s="46">
        <v>66</v>
      </c>
      <c r="AU36" s="46">
        <v>45</v>
      </c>
      <c r="AV36" s="46">
        <v>40</v>
      </c>
      <c r="AW36" s="46">
        <v>171</v>
      </c>
      <c r="AX36" s="46">
        <v>161</v>
      </c>
      <c r="AY36" s="47">
        <v>332</v>
      </c>
      <c r="BA36" s="40" t="s">
        <v>61</v>
      </c>
      <c r="BB36" s="46">
        <v>4</v>
      </c>
      <c r="BC36" s="46">
        <v>4</v>
      </c>
      <c r="BD36" s="46">
        <v>2</v>
      </c>
      <c r="BE36" s="46">
        <v>2</v>
      </c>
      <c r="BF36" s="46">
        <v>8</v>
      </c>
      <c r="BG36" s="46">
        <v>8</v>
      </c>
      <c r="BH36" s="46">
        <v>4</v>
      </c>
      <c r="BI36" s="46">
        <v>6</v>
      </c>
      <c r="BJ36" s="46">
        <v>18</v>
      </c>
      <c r="BK36" s="46">
        <v>20</v>
      </c>
      <c r="BL36" s="47">
        <v>38</v>
      </c>
    </row>
    <row r="37" spans="1:64" ht="32">
      <c r="A37" s="40" t="s">
        <v>62</v>
      </c>
      <c r="B37" s="9">
        <v>59</v>
      </c>
      <c r="C37" s="9">
        <v>52</v>
      </c>
      <c r="D37" s="9">
        <v>16</v>
      </c>
      <c r="E37" s="9">
        <v>14</v>
      </c>
      <c r="F37" s="9">
        <v>96</v>
      </c>
      <c r="G37" s="9">
        <v>82</v>
      </c>
      <c r="H37" s="9">
        <v>63</v>
      </c>
      <c r="I37" s="9">
        <v>50</v>
      </c>
      <c r="J37" s="9">
        <v>234</v>
      </c>
      <c r="K37" s="9">
        <v>198</v>
      </c>
      <c r="L37" s="41">
        <v>432</v>
      </c>
      <c r="N37" s="40" t="s">
        <v>62</v>
      </c>
      <c r="O37" s="9">
        <v>59</v>
      </c>
      <c r="P37" s="9">
        <v>52</v>
      </c>
      <c r="Q37" s="9">
        <v>16</v>
      </c>
      <c r="R37" s="9">
        <v>14</v>
      </c>
      <c r="S37" s="9">
        <v>95</v>
      </c>
      <c r="T37" s="9">
        <v>82</v>
      </c>
      <c r="U37" s="9">
        <v>62</v>
      </c>
      <c r="V37" s="9">
        <v>50</v>
      </c>
      <c r="W37" s="9">
        <v>232</v>
      </c>
      <c r="X37" s="9">
        <v>198</v>
      </c>
      <c r="Y37" s="41">
        <v>430</v>
      </c>
      <c r="AA37" s="40" t="s">
        <v>62</v>
      </c>
      <c r="AB37" s="9">
        <v>48</v>
      </c>
      <c r="AC37" s="9">
        <v>43</v>
      </c>
      <c r="AD37" s="9">
        <v>13</v>
      </c>
      <c r="AE37" s="9">
        <v>11</v>
      </c>
      <c r="AF37" s="9">
        <v>78</v>
      </c>
      <c r="AG37" s="9">
        <v>67</v>
      </c>
      <c r="AH37" s="9">
        <v>51</v>
      </c>
      <c r="AI37" s="9">
        <v>41</v>
      </c>
      <c r="AJ37" s="9">
        <v>190</v>
      </c>
      <c r="AK37" s="9">
        <v>162</v>
      </c>
      <c r="AL37" s="41">
        <v>352</v>
      </c>
      <c r="AN37" s="40" t="s">
        <v>62</v>
      </c>
      <c r="AO37" s="46">
        <v>49</v>
      </c>
      <c r="AP37" s="46">
        <v>44</v>
      </c>
      <c r="AQ37" s="46">
        <v>14</v>
      </c>
      <c r="AR37" s="46">
        <v>12</v>
      </c>
      <c r="AS37" s="46">
        <v>79</v>
      </c>
      <c r="AT37" s="46">
        <v>68</v>
      </c>
      <c r="AU37" s="46">
        <v>52</v>
      </c>
      <c r="AV37" s="46">
        <v>41</v>
      </c>
      <c r="AW37" s="46">
        <v>194</v>
      </c>
      <c r="AX37" s="46">
        <v>165</v>
      </c>
      <c r="AY37" s="47">
        <v>359</v>
      </c>
      <c r="BA37" s="40" t="s">
        <v>62</v>
      </c>
      <c r="BB37" s="46">
        <v>4</v>
      </c>
      <c r="BC37" s="46">
        <v>4</v>
      </c>
      <c r="BD37" s="46">
        <v>2</v>
      </c>
      <c r="BE37" s="46">
        <v>2</v>
      </c>
      <c r="BF37" s="46">
        <v>8</v>
      </c>
      <c r="BG37" s="46">
        <v>8</v>
      </c>
      <c r="BH37" s="46">
        <v>6</v>
      </c>
      <c r="BI37" s="46">
        <v>6</v>
      </c>
      <c r="BJ37" s="46">
        <v>20</v>
      </c>
      <c r="BK37" s="46">
        <v>20</v>
      </c>
      <c r="BL37" s="47">
        <v>40</v>
      </c>
    </row>
    <row r="38" spans="1:64" ht="32">
      <c r="A38" s="40" t="s">
        <v>63</v>
      </c>
      <c r="B38" s="9">
        <v>60</v>
      </c>
      <c r="C38" s="9">
        <v>50</v>
      </c>
      <c r="D38" s="9">
        <v>16</v>
      </c>
      <c r="E38" s="9">
        <v>14</v>
      </c>
      <c r="F38" s="9">
        <v>101</v>
      </c>
      <c r="G38" s="9">
        <v>79</v>
      </c>
      <c r="H38" s="9">
        <v>69</v>
      </c>
      <c r="I38" s="9">
        <v>48</v>
      </c>
      <c r="J38" s="9">
        <v>246</v>
      </c>
      <c r="K38" s="9">
        <v>191</v>
      </c>
      <c r="L38" s="41">
        <v>437</v>
      </c>
      <c r="N38" s="40" t="s">
        <v>63</v>
      </c>
      <c r="O38" s="9">
        <v>60</v>
      </c>
      <c r="P38" s="9">
        <v>50</v>
      </c>
      <c r="Q38" s="9">
        <v>17</v>
      </c>
      <c r="R38" s="9">
        <v>14</v>
      </c>
      <c r="S38" s="9">
        <v>100</v>
      </c>
      <c r="T38" s="9">
        <v>78</v>
      </c>
      <c r="U38" s="9">
        <v>68</v>
      </c>
      <c r="V38" s="9">
        <v>48</v>
      </c>
      <c r="W38" s="9">
        <v>245</v>
      </c>
      <c r="X38" s="9">
        <v>190</v>
      </c>
      <c r="Y38" s="41">
        <v>435</v>
      </c>
      <c r="AA38" s="40" t="s">
        <v>63</v>
      </c>
      <c r="AB38" s="9">
        <v>49</v>
      </c>
      <c r="AC38" s="9">
        <v>41</v>
      </c>
      <c r="AD38" s="9">
        <v>14</v>
      </c>
      <c r="AE38" s="9">
        <v>11</v>
      </c>
      <c r="AF38" s="9">
        <v>82</v>
      </c>
      <c r="AG38" s="9">
        <v>65</v>
      </c>
      <c r="AH38" s="9">
        <v>55</v>
      </c>
      <c r="AI38" s="9">
        <v>39</v>
      </c>
      <c r="AJ38" s="9">
        <v>200</v>
      </c>
      <c r="AK38" s="9">
        <v>156</v>
      </c>
      <c r="AL38" s="41">
        <v>356</v>
      </c>
      <c r="AN38" s="40" t="s">
        <v>63</v>
      </c>
      <c r="AO38" s="46">
        <v>50</v>
      </c>
      <c r="AP38" s="46">
        <v>42</v>
      </c>
      <c r="AQ38" s="46">
        <v>14</v>
      </c>
      <c r="AR38" s="46">
        <v>11</v>
      </c>
      <c r="AS38" s="46">
        <v>84</v>
      </c>
      <c r="AT38" s="46">
        <v>65</v>
      </c>
      <c r="AU38" s="46">
        <v>56</v>
      </c>
      <c r="AV38" s="46">
        <v>40</v>
      </c>
      <c r="AW38" s="46">
        <v>204</v>
      </c>
      <c r="AX38" s="46">
        <v>158</v>
      </c>
      <c r="AY38" s="47">
        <v>362</v>
      </c>
      <c r="BA38" s="40" t="s">
        <v>63</v>
      </c>
      <c r="BB38" s="46">
        <v>6</v>
      </c>
      <c r="BC38" s="46">
        <v>6</v>
      </c>
      <c r="BD38" s="46">
        <v>2</v>
      </c>
      <c r="BE38" s="46">
        <v>2</v>
      </c>
      <c r="BF38" s="46">
        <v>10</v>
      </c>
      <c r="BG38" s="46">
        <v>6</v>
      </c>
      <c r="BH38" s="46">
        <v>8</v>
      </c>
      <c r="BI38" s="46">
        <v>6</v>
      </c>
      <c r="BJ38" s="46">
        <v>26</v>
      </c>
      <c r="BK38" s="46">
        <v>20</v>
      </c>
      <c r="BL38" s="47">
        <v>46</v>
      </c>
    </row>
    <row r="39" spans="1:64" ht="32">
      <c r="A39" s="40" t="s">
        <v>64</v>
      </c>
      <c r="B39" s="9">
        <v>68</v>
      </c>
      <c r="C39" s="9">
        <v>53</v>
      </c>
      <c r="D39" s="9">
        <v>18</v>
      </c>
      <c r="E39" s="9">
        <v>15</v>
      </c>
      <c r="F39" s="9">
        <v>116</v>
      </c>
      <c r="G39" s="9">
        <v>84</v>
      </c>
      <c r="H39" s="9">
        <v>82</v>
      </c>
      <c r="I39" s="9">
        <v>50</v>
      </c>
      <c r="J39" s="9">
        <v>284</v>
      </c>
      <c r="K39" s="9">
        <v>202</v>
      </c>
      <c r="L39" s="41">
        <v>486</v>
      </c>
      <c r="N39" s="40" t="s">
        <v>64</v>
      </c>
      <c r="O39" s="9">
        <v>68</v>
      </c>
      <c r="P39" s="9">
        <v>52</v>
      </c>
      <c r="Q39" s="9">
        <v>18</v>
      </c>
      <c r="R39" s="9">
        <v>15</v>
      </c>
      <c r="S39" s="9">
        <v>116</v>
      </c>
      <c r="T39" s="9">
        <v>83</v>
      </c>
      <c r="U39" s="9">
        <v>82</v>
      </c>
      <c r="V39" s="9">
        <v>50</v>
      </c>
      <c r="W39" s="9">
        <v>284</v>
      </c>
      <c r="X39" s="9">
        <v>200</v>
      </c>
      <c r="Y39" s="41">
        <v>484</v>
      </c>
      <c r="AA39" s="40" t="s">
        <v>64</v>
      </c>
      <c r="AB39" s="9">
        <v>55</v>
      </c>
      <c r="AC39" s="9">
        <v>43</v>
      </c>
      <c r="AD39" s="9">
        <v>15</v>
      </c>
      <c r="AE39" s="9">
        <v>12</v>
      </c>
      <c r="AF39" s="9">
        <v>94</v>
      </c>
      <c r="AG39" s="9">
        <v>67</v>
      </c>
      <c r="AH39" s="9">
        <v>67</v>
      </c>
      <c r="AI39" s="9">
        <v>41</v>
      </c>
      <c r="AJ39" s="9">
        <v>231</v>
      </c>
      <c r="AK39" s="9">
        <v>163</v>
      </c>
      <c r="AL39" s="41">
        <v>394</v>
      </c>
      <c r="AN39" s="40" t="s">
        <v>64</v>
      </c>
      <c r="AO39" s="46">
        <v>56</v>
      </c>
      <c r="AP39" s="46">
        <v>44</v>
      </c>
      <c r="AQ39" s="46">
        <v>15</v>
      </c>
      <c r="AR39" s="46">
        <v>12</v>
      </c>
      <c r="AS39" s="46">
        <v>97</v>
      </c>
      <c r="AT39" s="46">
        <v>70</v>
      </c>
      <c r="AU39" s="46">
        <v>69</v>
      </c>
      <c r="AV39" s="46">
        <v>42</v>
      </c>
      <c r="AW39" s="46">
        <v>237</v>
      </c>
      <c r="AX39" s="46">
        <v>168</v>
      </c>
      <c r="AY39" s="47">
        <v>405</v>
      </c>
      <c r="BA39" s="40" t="s">
        <v>64</v>
      </c>
      <c r="BB39" s="46">
        <v>8</v>
      </c>
      <c r="BC39" s="46">
        <v>6</v>
      </c>
      <c r="BD39" s="46">
        <v>2</v>
      </c>
      <c r="BE39" s="9">
        <v>0</v>
      </c>
      <c r="BF39" s="46">
        <v>12</v>
      </c>
      <c r="BG39" s="46">
        <v>8</v>
      </c>
      <c r="BH39" s="46">
        <v>8</v>
      </c>
      <c r="BI39" s="46">
        <v>6</v>
      </c>
      <c r="BJ39" s="46">
        <v>30</v>
      </c>
      <c r="BK39" s="46">
        <v>20</v>
      </c>
      <c r="BL39" s="47">
        <v>50</v>
      </c>
    </row>
    <row r="40" spans="1:64" ht="32">
      <c r="A40" s="40" t="s">
        <v>65</v>
      </c>
      <c r="B40" s="9">
        <v>79</v>
      </c>
      <c r="C40" s="9">
        <v>51</v>
      </c>
      <c r="D40" s="9">
        <v>19</v>
      </c>
      <c r="E40" s="9">
        <v>14</v>
      </c>
      <c r="F40" s="9">
        <v>132</v>
      </c>
      <c r="G40" s="9">
        <v>80</v>
      </c>
      <c r="H40" s="9">
        <v>97</v>
      </c>
      <c r="I40" s="9">
        <v>48</v>
      </c>
      <c r="J40" s="9">
        <v>327</v>
      </c>
      <c r="K40" s="9">
        <v>193</v>
      </c>
      <c r="L40" s="41">
        <v>520</v>
      </c>
      <c r="N40" s="40" t="s">
        <v>65</v>
      </c>
      <c r="O40" s="9">
        <v>78</v>
      </c>
      <c r="P40" s="9">
        <v>50</v>
      </c>
      <c r="Q40" s="9">
        <v>18</v>
      </c>
      <c r="R40" s="9">
        <v>14</v>
      </c>
      <c r="S40" s="9">
        <v>130</v>
      </c>
      <c r="T40" s="9">
        <v>79</v>
      </c>
      <c r="U40" s="9">
        <v>97</v>
      </c>
      <c r="V40" s="9">
        <v>48</v>
      </c>
      <c r="W40" s="9">
        <v>323</v>
      </c>
      <c r="X40" s="9">
        <v>191</v>
      </c>
      <c r="Y40" s="41">
        <v>514</v>
      </c>
      <c r="AA40" s="40" t="s">
        <v>65</v>
      </c>
      <c r="AB40" s="9">
        <v>64</v>
      </c>
      <c r="AC40" s="9">
        <v>41</v>
      </c>
      <c r="AD40" s="9">
        <v>15</v>
      </c>
      <c r="AE40" s="9">
        <v>12</v>
      </c>
      <c r="AF40" s="9">
        <v>108</v>
      </c>
      <c r="AG40" s="9">
        <v>66</v>
      </c>
      <c r="AH40" s="9">
        <v>79</v>
      </c>
      <c r="AI40" s="9">
        <v>38</v>
      </c>
      <c r="AJ40" s="9">
        <v>266</v>
      </c>
      <c r="AK40" s="9">
        <v>157</v>
      </c>
      <c r="AL40" s="41">
        <v>423</v>
      </c>
      <c r="AN40" s="40" t="s">
        <v>65</v>
      </c>
      <c r="AO40" s="46">
        <v>65</v>
      </c>
      <c r="AP40" s="46">
        <v>42</v>
      </c>
      <c r="AQ40" s="46">
        <v>16</v>
      </c>
      <c r="AR40" s="46">
        <v>12</v>
      </c>
      <c r="AS40" s="46">
        <v>109</v>
      </c>
      <c r="AT40" s="46">
        <v>67</v>
      </c>
      <c r="AU40" s="46">
        <v>80</v>
      </c>
      <c r="AV40" s="46">
        <v>40</v>
      </c>
      <c r="AW40" s="46">
        <v>270</v>
      </c>
      <c r="AX40" s="46">
        <v>161</v>
      </c>
      <c r="AY40" s="47">
        <v>431</v>
      </c>
      <c r="BA40" s="40" t="s">
        <v>65</v>
      </c>
      <c r="BB40" s="46">
        <v>10</v>
      </c>
      <c r="BC40" s="46">
        <v>6</v>
      </c>
      <c r="BD40" s="9">
        <v>0</v>
      </c>
      <c r="BE40" s="9">
        <v>0</v>
      </c>
      <c r="BF40" s="46">
        <v>14</v>
      </c>
      <c r="BG40" s="46">
        <v>8</v>
      </c>
      <c r="BH40" s="46">
        <v>10</v>
      </c>
      <c r="BI40" s="46">
        <v>6</v>
      </c>
      <c r="BJ40" s="46">
        <v>34</v>
      </c>
      <c r="BK40" s="46">
        <v>20</v>
      </c>
      <c r="BL40" s="47">
        <v>54</v>
      </c>
    </row>
    <row r="41" spans="1:64" ht="32">
      <c r="A41" s="40" t="s">
        <v>66</v>
      </c>
      <c r="B41" s="9">
        <v>155</v>
      </c>
      <c r="C41" s="9">
        <v>37</v>
      </c>
      <c r="D41" s="9">
        <v>30</v>
      </c>
      <c r="E41" s="9">
        <v>10</v>
      </c>
      <c r="F41" s="9">
        <v>209</v>
      </c>
      <c r="G41" s="9">
        <v>58</v>
      </c>
      <c r="H41" s="9">
        <v>125</v>
      </c>
      <c r="I41" s="9">
        <v>35</v>
      </c>
      <c r="J41" s="9">
        <v>519</v>
      </c>
      <c r="K41" s="9">
        <v>140</v>
      </c>
      <c r="L41" s="41">
        <v>659</v>
      </c>
      <c r="N41" s="40" t="s">
        <v>66</v>
      </c>
      <c r="O41" s="9">
        <v>155</v>
      </c>
      <c r="P41" s="9">
        <v>36</v>
      </c>
      <c r="Q41" s="9">
        <v>30</v>
      </c>
      <c r="R41" s="9">
        <v>10</v>
      </c>
      <c r="S41" s="9">
        <v>208</v>
      </c>
      <c r="T41" s="9">
        <v>57</v>
      </c>
      <c r="U41" s="9">
        <v>125</v>
      </c>
      <c r="V41" s="9">
        <v>36</v>
      </c>
      <c r="W41" s="9">
        <v>518</v>
      </c>
      <c r="X41" s="9">
        <v>139</v>
      </c>
      <c r="Y41" s="41">
        <v>657</v>
      </c>
      <c r="AA41" s="40" t="s">
        <v>66</v>
      </c>
      <c r="AB41" s="9">
        <v>127</v>
      </c>
      <c r="AC41" s="9">
        <v>30</v>
      </c>
      <c r="AD41" s="9">
        <v>25</v>
      </c>
      <c r="AE41" s="9">
        <v>8</v>
      </c>
      <c r="AF41" s="9">
        <v>170</v>
      </c>
      <c r="AG41" s="9">
        <v>47</v>
      </c>
      <c r="AH41" s="9">
        <v>102</v>
      </c>
      <c r="AI41" s="9">
        <v>29</v>
      </c>
      <c r="AJ41" s="9">
        <v>424</v>
      </c>
      <c r="AK41" s="9">
        <v>114</v>
      </c>
      <c r="AL41" s="41">
        <v>538</v>
      </c>
      <c r="AN41" s="40" t="s">
        <v>66</v>
      </c>
      <c r="AO41" s="46">
        <v>129</v>
      </c>
      <c r="AP41" s="46">
        <v>30</v>
      </c>
      <c r="AQ41" s="46">
        <v>25</v>
      </c>
      <c r="AR41" s="46">
        <v>9</v>
      </c>
      <c r="AS41" s="46">
        <v>174</v>
      </c>
      <c r="AT41" s="46">
        <v>48</v>
      </c>
      <c r="AU41" s="46">
        <v>104</v>
      </c>
      <c r="AV41" s="46">
        <v>29</v>
      </c>
      <c r="AW41" s="46">
        <v>432</v>
      </c>
      <c r="AX41" s="46">
        <v>116</v>
      </c>
      <c r="AY41" s="47">
        <v>548</v>
      </c>
      <c r="BA41" s="40" t="s">
        <v>66</v>
      </c>
      <c r="BB41" s="46">
        <v>18</v>
      </c>
      <c r="BC41" s="46">
        <v>4</v>
      </c>
      <c r="BD41" s="46">
        <v>2</v>
      </c>
      <c r="BE41" s="46">
        <v>2</v>
      </c>
      <c r="BF41" s="46">
        <v>22</v>
      </c>
      <c r="BG41" s="46">
        <v>6</v>
      </c>
      <c r="BH41" s="46">
        <v>12</v>
      </c>
      <c r="BI41" s="46">
        <v>2</v>
      </c>
      <c r="BJ41" s="46">
        <v>54</v>
      </c>
      <c r="BK41" s="46">
        <v>14</v>
      </c>
      <c r="BL41" s="47">
        <v>68</v>
      </c>
    </row>
    <row r="42" spans="1:64" ht="32">
      <c r="A42" s="40" t="s">
        <v>67</v>
      </c>
      <c r="B42" s="9">
        <v>178</v>
      </c>
      <c r="C42" s="9">
        <v>28</v>
      </c>
      <c r="D42" s="9">
        <v>32</v>
      </c>
      <c r="E42" s="9">
        <v>8</v>
      </c>
      <c r="F42" s="9">
        <v>218</v>
      </c>
      <c r="G42" s="9">
        <v>46</v>
      </c>
      <c r="H42" s="9">
        <v>115</v>
      </c>
      <c r="I42" s="9">
        <v>28</v>
      </c>
      <c r="J42" s="9">
        <v>543</v>
      </c>
      <c r="K42" s="9">
        <v>110</v>
      </c>
      <c r="L42" s="41">
        <v>653</v>
      </c>
      <c r="N42" s="40" t="s">
        <v>67</v>
      </c>
      <c r="O42" s="9">
        <v>177</v>
      </c>
      <c r="P42" s="9">
        <v>28</v>
      </c>
      <c r="Q42" s="9">
        <v>32</v>
      </c>
      <c r="R42" s="9">
        <v>8</v>
      </c>
      <c r="S42" s="9">
        <v>217</v>
      </c>
      <c r="T42" s="9">
        <v>45</v>
      </c>
      <c r="U42" s="9">
        <v>114</v>
      </c>
      <c r="V42" s="9">
        <v>28</v>
      </c>
      <c r="W42" s="9">
        <v>540</v>
      </c>
      <c r="X42" s="9">
        <v>109</v>
      </c>
      <c r="Y42" s="41">
        <v>649</v>
      </c>
      <c r="AA42" s="40" t="s">
        <v>67</v>
      </c>
      <c r="AB42" s="9">
        <v>145</v>
      </c>
      <c r="AC42" s="9">
        <v>23</v>
      </c>
      <c r="AD42" s="9">
        <v>26</v>
      </c>
      <c r="AE42" s="9">
        <v>7</v>
      </c>
      <c r="AF42" s="9">
        <v>178</v>
      </c>
      <c r="AG42" s="9">
        <v>37</v>
      </c>
      <c r="AH42" s="9">
        <v>93</v>
      </c>
      <c r="AI42" s="9">
        <v>23</v>
      </c>
      <c r="AJ42" s="9">
        <v>442</v>
      </c>
      <c r="AK42" s="9">
        <v>90</v>
      </c>
      <c r="AL42" s="41">
        <v>532</v>
      </c>
      <c r="AN42" s="40" t="s">
        <v>67</v>
      </c>
      <c r="AO42" s="46">
        <v>148</v>
      </c>
      <c r="AP42" s="46">
        <v>24</v>
      </c>
      <c r="AQ42" s="46">
        <v>27</v>
      </c>
      <c r="AR42" s="46">
        <v>7</v>
      </c>
      <c r="AS42" s="46">
        <v>182</v>
      </c>
      <c r="AT42" s="46">
        <v>38</v>
      </c>
      <c r="AU42" s="46">
        <v>95</v>
      </c>
      <c r="AV42" s="46">
        <v>22</v>
      </c>
      <c r="AW42" s="46">
        <v>452</v>
      </c>
      <c r="AX42" s="46">
        <v>91</v>
      </c>
      <c r="AY42" s="47">
        <v>543</v>
      </c>
      <c r="BA42" s="40" t="s">
        <v>67</v>
      </c>
      <c r="BB42" s="46">
        <v>18</v>
      </c>
      <c r="BC42" s="46">
        <v>4</v>
      </c>
      <c r="BD42" s="46">
        <v>4</v>
      </c>
      <c r="BE42" s="9">
        <v>0</v>
      </c>
      <c r="BF42" s="46">
        <v>22</v>
      </c>
      <c r="BG42" s="46">
        <v>4</v>
      </c>
      <c r="BH42" s="46">
        <v>12</v>
      </c>
      <c r="BI42" s="46">
        <v>4</v>
      </c>
      <c r="BJ42" s="46">
        <v>56</v>
      </c>
      <c r="BK42" s="46">
        <v>12</v>
      </c>
      <c r="BL42" s="47">
        <v>68</v>
      </c>
    </row>
    <row r="43" spans="1:64" ht="32">
      <c r="A43" s="40" t="s">
        <v>68</v>
      </c>
      <c r="B43" s="9">
        <v>131</v>
      </c>
      <c r="C43" s="9">
        <v>20</v>
      </c>
      <c r="D43" s="9">
        <v>22</v>
      </c>
      <c r="E43" s="9">
        <v>6</v>
      </c>
      <c r="F43" s="9">
        <v>155</v>
      </c>
      <c r="G43" s="9">
        <v>32</v>
      </c>
      <c r="H43" s="9">
        <v>78</v>
      </c>
      <c r="I43" s="9">
        <v>19</v>
      </c>
      <c r="J43" s="9">
        <v>386</v>
      </c>
      <c r="K43" s="9">
        <v>77</v>
      </c>
      <c r="L43" s="41">
        <v>463</v>
      </c>
      <c r="N43" s="40" t="s">
        <v>68</v>
      </c>
      <c r="O43" s="9">
        <v>131</v>
      </c>
      <c r="P43" s="9">
        <v>20</v>
      </c>
      <c r="Q43" s="9">
        <v>22</v>
      </c>
      <c r="R43" s="9">
        <v>6</v>
      </c>
      <c r="S43" s="9">
        <v>154</v>
      </c>
      <c r="T43" s="9">
        <v>32</v>
      </c>
      <c r="U43" s="9">
        <v>77</v>
      </c>
      <c r="V43" s="9">
        <v>19</v>
      </c>
      <c r="W43" s="9">
        <v>384</v>
      </c>
      <c r="X43" s="9">
        <v>77</v>
      </c>
      <c r="Y43" s="41">
        <v>461</v>
      </c>
      <c r="AA43" s="40" t="s">
        <v>68</v>
      </c>
      <c r="AB43" s="9">
        <v>107</v>
      </c>
      <c r="AC43" s="9">
        <v>16</v>
      </c>
      <c r="AD43" s="9">
        <v>18</v>
      </c>
      <c r="AE43" s="9">
        <v>5</v>
      </c>
      <c r="AF43" s="9">
        <v>126</v>
      </c>
      <c r="AG43" s="9">
        <v>26</v>
      </c>
      <c r="AH43" s="9">
        <v>64</v>
      </c>
      <c r="AI43" s="9">
        <v>16</v>
      </c>
      <c r="AJ43" s="9">
        <v>315</v>
      </c>
      <c r="AK43" s="9">
        <v>63</v>
      </c>
      <c r="AL43" s="41">
        <v>378</v>
      </c>
      <c r="AN43" s="40" t="s">
        <v>68</v>
      </c>
      <c r="AO43" s="46">
        <v>109</v>
      </c>
      <c r="AP43" s="46">
        <v>16</v>
      </c>
      <c r="AQ43" s="46">
        <v>18</v>
      </c>
      <c r="AR43" s="46">
        <v>5</v>
      </c>
      <c r="AS43" s="46">
        <v>129</v>
      </c>
      <c r="AT43" s="46">
        <v>27</v>
      </c>
      <c r="AU43" s="46">
        <v>65</v>
      </c>
      <c r="AV43" s="46">
        <v>16</v>
      </c>
      <c r="AW43" s="46">
        <v>321</v>
      </c>
      <c r="AX43" s="46">
        <v>64</v>
      </c>
      <c r="AY43" s="47">
        <v>385</v>
      </c>
      <c r="BA43" s="40" t="s">
        <v>68</v>
      </c>
      <c r="BB43" s="46">
        <v>14</v>
      </c>
      <c r="BC43" s="46">
        <v>2</v>
      </c>
      <c r="BD43" s="46">
        <v>2</v>
      </c>
      <c r="BE43" s="9">
        <v>0</v>
      </c>
      <c r="BF43" s="46">
        <v>18</v>
      </c>
      <c r="BG43" s="46">
        <v>4</v>
      </c>
      <c r="BH43" s="46">
        <v>10</v>
      </c>
      <c r="BI43" s="46">
        <v>2</v>
      </c>
      <c r="BJ43" s="46">
        <v>44</v>
      </c>
      <c r="BK43" s="46">
        <v>8</v>
      </c>
      <c r="BL43" s="47">
        <v>52</v>
      </c>
    </row>
    <row r="44" spans="1:64">
      <c r="A44" s="40" t="s">
        <v>162</v>
      </c>
      <c r="B44" s="9">
        <v>66</v>
      </c>
      <c r="C44" s="9">
        <v>8</v>
      </c>
      <c r="D44" s="9">
        <v>11</v>
      </c>
      <c r="E44" s="9">
        <v>2</v>
      </c>
      <c r="F44" s="9">
        <v>80</v>
      </c>
      <c r="G44" s="9">
        <v>12</v>
      </c>
      <c r="H44" s="9">
        <v>44</v>
      </c>
      <c r="I44" s="9">
        <v>8</v>
      </c>
      <c r="J44" s="9">
        <v>201</v>
      </c>
      <c r="K44" s="9">
        <v>30</v>
      </c>
      <c r="L44" s="41">
        <v>231</v>
      </c>
      <c r="N44" s="40" t="s">
        <v>162</v>
      </c>
      <c r="O44" s="9">
        <v>65</v>
      </c>
      <c r="P44" s="9">
        <v>8</v>
      </c>
      <c r="Q44" s="9">
        <v>11</v>
      </c>
      <c r="R44" s="9">
        <v>2</v>
      </c>
      <c r="S44" s="9">
        <v>80</v>
      </c>
      <c r="T44" s="9">
        <v>12</v>
      </c>
      <c r="U44" s="9">
        <v>44</v>
      </c>
      <c r="V44" s="9">
        <v>8</v>
      </c>
      <c r="W44" s="9">
        <v>200</v>
      </c>
      <c r="X44" s="9">
        <v>30</v>
      </c>
      <c r="Y44" s="41">
        <v>230</v>
      </c>
      <c r="AA44" s="40" t="s">
        <v>162</v>
      </c>
      <c r="AB44" s="9">
        <v>54</v>
      </c>
      <c r="AC44" s="9">
        <v>6</v>
      </c>
      <c r="AD44" s="9">
        <v>9</v>
      </c>
      <c r="AE44" s="9">
        <v>2</v>
      </c>
      <c r="AF44" s="9">
        <v>65</v>
      </c>
      <c r="AG44" s="9">
        <v>10</v>
      </c>
      <c r="AH44" s="9">
        <v>36</v>
      </c>
      <c r="AI44" s="9">
        <v>6</v>
      </c>
      <c r="AJ44" s="9">
        <v>164</v>
      </c>
      <c r="AK44" s="9">
        <v>24</v>
      </c>
      <c r="AL44" s="41">
        <v>188</v>
      </c>
      <c r="AN44" s="40" t="s">
        <v>162</v>
      </c>
      <c r="AO44" s="46">
        <v>54</v>
      </c>
      <c r="AP44" s="46">
        <v>6</v>
      </c>
      <c r="AQ44" s="46">
        <v>9</v>
      </c>
      <c r="AR44" s="46">
        <v>2</v>
      </c>
      <c r="AS44" s="46">
        <v>67</v>
      </c>
      <c r="AT44" s="46">
        <v>10</v>
      </c>
      <c r="AU44" s="46">
        <v>37</v>
      </c>
      <c r="AV44" s="46">
        <v>7</v>
      </c>
      <c r="AW44" s="46">
        <v>167</v>
      </c>
      <c r="AX44" s="46">
        <v>25</v>
      </c>
      <c r="AY44" s="47">
        <v>192</v>
      </c>
      <c r="BA44" s="40" t="s">
        <v>162</v>
      </c>
      <c r="BB44" s="46">
        <v>6</v>
      </c>
      <c r="BC44" s="9">
        <v>0</v>
      </c>
      <c r="BD44" s="46">
        <v>2</v>
      </c>
      <c r="BE44" s="9">
        <v>0</v>
      </c>
      <c r="BF44" s="46">
        <v>8</v>
      </c>
      <c r="BG44" s="9">
        <v>0</v>
      </c>
      <c r="BH44" s="46">
        <v>4</v>
      </c>
      <c r="BI44" s="46">
        <v>2</v>
      </c>
      <c r="BJ44" s="46">
        <v>20</v>
      </c>
      <c r="BK44" s="46">
        <v>2</v>
      </c>
      <c r="BL44" s="47">
        <v>22</v>
      </c>
    </row>
    <row r="45" spans="1:64" ht="17.5" thickBot="1">
      <c r="A45" s="42" t="s">
        <v>160</v>
      </c>
      <c r="B45" s="16">
        <v>998</v>
      </c>
      <c r="C45" s="16">
        <v>998</v>
      </c>
      <c r="D45" s="16">
        <v>222</v>
      </c>
      <c r="E45" s="16">
        <v>222</v>
      </c>
      <c r="F45" s="17">
        <v>1429</v>
      </c>
      <c r="G45" s="17">
        <v>1429</v>
      </c>
      <c r="H45" s="16">
        <v>870</v>
      </c>
      <c r="I45" s="16">
        <v>870</v>
      </c>
      <c r="J45" s="17">
        <v>3519</v>
      </c>
      <c r="K45" s="17">
        <v>3519</v>
      </c>
      <c r="L45" s="43">
        <v>7038</v>
      </c>
      <c r="N45" s="42" t="s">
        <v>160</v>
      </c>
      <c r="O45" s="16">
        <v>992</v>
      </c>
      <c r="P45" s="16">
        <v>992</v>
      </c>
      <c r="Q45" s="16">
        <v>221</v>
      </c>
      <c r="R45" s="16">
        <v>221</v>
      </c>
      <c r="S45" s="17">
        <v>1420</v>
      </c>
      <c r="T45" s="17">
        <v>1420</v>
      </c>
      <c r="U45" s="16">
        <v>865</v>
      </c>
      <c r="V45" s="16">
        <v>865</v>
      </c>
      <c r="W45" s="17">
        <v>3498</v>
      </c>
      <c r="X45" s="17">
        <v>3498</v>
      </c>
      <c r="Y45" s="43">
        <v>6996</v>
      </c>
      <c r="AA45" s="42" t="s">
        <v>160</v>
      </c>
      <c r="AB45" s="16">
        <v>813</v>
      </c>
      <c r="AC45" s="16">
        <v>813</v>
      </c>
      <c r="AD45" s="16">
        <v>181</v>
      </c>
      <c r="AE45" s="16">
        <v>181</v>
      </c>
      <c r="AF45" s="17">
        <v>1164</v>
      </c>
      <c r="AG45" s="17">
        <v>1164</v>
      </c>
      <c r="AH45" s="16">
        <v>708</v>
      </c>
      <c r="AI45" s="16">
        <v>708</v>
      </c>
      <c r="AJ45" s="17">
        <v>2866</v>
      </c>
      <c r="AK45" s="17">
        <v>2866</v>
      </c>
      <c r="AL45" s="43">
        <v>5732</v>
      </c>
      <c r="AN45" s="42" t="s">
        <v>160</v>
      </c>
      <c r="AO45" s="48">
        <v>829</v>
      </c>
      <c r="AP45" s="48">
        <v>829</v>
      </c>
      <c r="AQ45" s="48">
        <v>185</v>
      </c>
      <c r="AR45" s="48">
        <v>185</v>
      </c>
      <c r="AS45" s="51">
        <v>1187</v>
      </c>
      <c r="AT45" s="51">
        <v>1187</v>
      </c>
      <c r="AU45" s="48">
        <v>722</v>
      </c>
      <c r="AV45" s="48">
        <v>722</v>
      </c>
      <c r="AW45" s="51">
        <v>2923</v>
      </c>
      <c r="AX45" s="51">
        <v>2923</v>
      </c>
      <c r="AY45" s="52">
        <v>5846</v>
      </c>
      <c r="BA45" s="42" t="s">
        <v>160</v>
      </c>
      <c r="BB45" s="48">
        <v>104</v>
      </c>
      <c r="BC45" s="48">
        <v>104</v>
      </c>
      <c r="BD45" s="48">
        <v>22</v>
      </c>
      <c r="BE45" s="48">
        <v>22</v>
      </c>
      <c r="BF45" s="48">
        <v>146</v>
      </c>
      <c r="BG45" s="48">
        <v>146</v>
      </c>
      <c r="BH45" s="48">
        <v>90</v>
      </c>
      <c r="BI45" s="48">
        <v>90</v>
      </c>
      <c r="BJ45" s="48">
        <v>362</v>
      </c>
      <c r="BK45" s="48">
        <v>362</v>
      </c>
      <c r="BL45" s="49">
        <v>724</v>
      </c>
    </row>
    <row r="46" spans="1:64" ht="17.5" thickTop="1">
      <c r="A46" s="56"/>
      <c r="B46" s="20"/>
      <c r="C46" s="20"/>
      <c r="D46" s="20"/>
      <c r="E46" s="20"/>
      <c r="F46" s="21"/>
      <c r="G46" s="21"/>
      <c r="H46" s="20"/>
      <c r="I46" s="20"/>
      <c r="J46" s="21"/>
      <c r="K46" s="21"/>
      <c r="L46" s="21"/>
    </row>
    <row r="47" spans="1:64" ht="17.5" thickBot="1">
      <c r="A47" s="57" t="s">
        <v>180</v>
      </c>
      <c r="N47" t="s">
        <v>182</v>
      </c>
      <c r="AA47" s="57" t="s">
        <v>185</v>
      </c>
      <c r="AN47" s="63" t="s">
        <v>186</v>
      </c>
      <c r="BA47" s="57" t="s">
        <v>187</v>
      </c>
    </row>
    <row r="48" spans="1:64" ht="17.5" thickTop="1">
      <c r="A48" s="642" t="s">
        <v>39</v>
      </c>
      <c r="B48" s="645" t="s">
        <v>173</v>
      </c>
      <c r="C48" s="646"/>
      <c r="D48" s="646"/>
      <c r="E48" s="646"/>
      <c r="F48" s="646"/>
      <c r="G48" s="646"/>
      <c r="H48" s="647"/>
      <c r="N48" s="559" t="s">
        <v>39</v>
      </c>
      <c r="O48" s="58" t="s">
        <v>181</v>
      </c>
      <c r="P48" s="59"/>
      <c r="Q48" s="59"/>
      <c r="R48" s="59"/>
      <c r="S48" s="59"/>
      <c r="T48" s="59"/>
      <c r="U48" s="62"/>
      <c r="AA48" s="559" t="s">
        <v>175</v>
      </c>
      <c r="AB48" s="651" t="s">
        <v>181</v>
      </c>
      <c r="AC48" s="652"/>
      <c r="AD48" s="652"/>
      <c r="AE48" s="652"/>
      <c r="AF48" s="652"/>
      <c r="AG48" s="652"/>
      <c r="AH48" s="653"/>
      <c r="AN48" s="559" t="s">
        <v>177</v>
      </c>
      <c r="AO48" s="651" t="s">
        <v>181</v>
      </c>
      <c r="AP48" s="652"/>
      <c r="AQ48" s="652"/>
      <c r="AR48" s="652"/>
      <c r="AS48" s="652"/>
      <c r="AT48" s="652"/>
      <c r="AU48" s="653"/>
      <c r="BA48" s="559" t="s">
        <v>39</v>
      </c>
      <c r="BB48" s="651" t="s">
        <v>181</v>
      </c>
      <c r="BC48" s="652"/>
      <c r="BD48" s="652"/>
      <c r="BE48" s="652"/>
      <c r="BF48" s="652"/>
      <c r="BG48" s="652"/>
      <c r="BH48" s="653"/>
    </row>
    <row r="49" spans="1:60">
      <c r="A49" s="643"/>
      <c r="B49" s="648" t="s">
        <v>156</v>
      </c>
      <c r="C49" s="649"/>
      <c r="D49" s="648" t="s">
        <v>174</v>
      </c>
      <c r="E49" s="649"/>
      <c r="F49" s="648" t="s">
        <v>160</v>
      </c>
      <c r="G49" s="650"/>
      <c r="H49" s="649"/>
      <c r="N49" s="641"/>
      <c r="O49" s="35" t="s">
        <v>156</v>
      </c>
      <c r="P49" s="60"/>
      <c r="Q49" s="35" t="s">
        <v>174</v>
      </c>
      <c r="R49" s="60"/>
      <c r="S49" s="35" t="s">
        <v>160</v>
      </c>
      <c r="T49" s="61"/>
      <c r="U49" s="60"/>
      <c r="AA49" s="641"/>
      <c r="AB49" s="555" t="s">
        <v>156</v>
      </c>
      <c r="AC49" s="556"/>
      <c r="AD49" s="555" t="s">
        <v>174</v>
      </c>
      <c r="AE49" s="556"/>
      <c r="AF49" s="555" t="s">
        <v>160</v>
      </c>
      <c r="AG49" s="557"/>
      <c r="AH49" s="556"/>
      <c r="AN49" s="641"/>
      <c r="AO49" s="555" t="s">
        <v>156</v>
      </c>
      <c r="AP49" s="556"/>
      <c r="AQ49" s="555" t="s">
        <v>174</v>
      </c>
      <c r="AR49" s="556"/>
      <c r="AS49" s="555" t="s">
        <v>160</v>
      </c>
      <c r="AT49" s="557"/>
      <c r="AU49" s="556"/>
      <c r="BA49" s="641"/>
      <c r="BB49" s="555" t="s">
        <v>156</v>
      </c>
      <c r="BC49" s="556"/>
      <c r="BD49" s="555" t="s">
        <v>174</v>
      </c>
      <c r="BE49" s="556"/>
      <c r="BF49" s="555" t="s">
        <v>160</v>
      </c>
      <c r="BG49" s="557"/>
      <c r="BH49" s="556"/>
    </row>
    <row r="50" spans="1:60" ht="17.5" thickBot="1">
      <c r="A50" s="644"/>
      <c r="B50" s="50" t="s">
        <v>40</v>
      </c>
      <c r="C50" s="50" t="s">
        <v>41</v>
      </c>
      <c r="D50" s="50" t="s">
        <v>40</v>
      </c>
      <c r="E50" s="50" t="s">
        <v>41</v>
      </c>
      <c r="F50" s="50" t="s">
        <v>40</v>
      </c>
      <c r="G50" s="50" t="s">
        <v>41</v>
      </c>
      <c r="H50" s="50" t="s">
        <v>21</v>
      </c>
      <c r="N50" s="561"/>
      <c r="O50" s="36" t="s">
        <v>40</v>
      </c>
      <c r="P50" s="36" t="s">
        <v>41</v>
      </c>
      <c r="Q50" s="36" t="s">
        <v>40</v>
      </c>
      <c r="R50" s="36" t="s">
        <v>41</v>
      </c>
      <c r="S50" s="36" t="s">
        <v>40</v>
      </c>
      <c r="T50" s="36" t="s">
        <v>41</v>
      </c>
      <c r="U50" s="36" t="s">
        <v>21</v>
      </c>
      <c r="AA50" s="561"/>
      <c r="AB50" s="36" t="s">
        <v>40</v>
      </c>
      <c r="AC50" s="36" t="s">
        <v>41</v>
      </c>
      <c r="AD50" s="36" t="s">
        <v>40</v>
      </c>
      <c r="AE50" s="36" t="s">
        <v>41</v>
      </c>
      <c r="AF50" s="36" t="s">
        <v>40</v>
      </c>
      <c r="AG50" s="36" t="s">
        <v>41</v>
      </c>
      <c r="AH50" s="36" t="s">
        <v>21</v>
      </c>
      <c r="AN50" s="561"/>
      <c r="AO50" s="36" t="s">
        <v>40</v>
      </c>
      <c r="AP50" s="36" t="s">
        <v>41</v>
      </c>
      <c r="AQ50" s="36" t="s">
        <v>40</v>
      </c>
      <c r="AR50" s="36" t="s">
        <v>41</v>
      </c>
      <c r="AS50" s="36" t="s">
        <v>40</v>
      </c>
      <c r="AT50" s="36" t="s">
        <v>41</v>
      </c>
      <c r="AU50" s="36" t="s">
        <v>21</v>
      </c>
      <c r="BA50" s="561"/>
      <c r="BB50" s="36" t="s">
        <v>40</v>
      </c>
      <c r="BC50" s="36" t="s">
        <v>41</v>
      </c>
      <c r="BD50" s="36" t="s">
        <v>40</v>
      </c>
      <c r="BE50" s="36" t="s">
        <v>41</v>
      </c>
      <c r="BF50" s="36" t="s">
        <v>40</v>
      </c>
      <c r="BG50" s="36" t="s">
        <v>41</v>
      </c>
      <c r="BH50" s="36" t="s">
        <v>21</v>
      </c>
    </row>
    <row r="51" spans="1:60" ht="17.5" thickTop="1">
      <c r="A51" s="38" t="s">
        <v>161</v>
      </c>
      <c r="B51" s="44" t="s">
        <v>22</v>
      </c>
      <c r="C51" s="44">
        <v>31</v>
      </c>
      <c r="D51" s="44">
        <v>5</v>
      </c>
      <c r="E51" s="44">
        <v>5</v>
      </c>
      <c r="F51" s="44">
        <v>5</v>
      </c>
      <c r="G51" s="44">
        <v>36</v>
      </c>
      <c r="H51" s="44">
        <v>41</v>
      </c>
      <c r="N51" s="38" t="s">
        <v>161</v>
      </c>
      <c r="O51" s="44" t="s">
        <v>22</v>
      </c>
      <c r="P51" s="44">
        <v>31</v>
      </c>
      <c r="Q51" s="44">
        <v>5</v>
      </c>
      <c r="R51" s="44">
        <v>5</v>
      </c>
      <c r="S51" s="44">
        <v>5</v>
      </c>
      <c r="T51" s="44">
        <v>36</v>
      </c>
      <c r="U51" s="44">
        <v>41</v>
      </c>
      <c r="AA51" s="38" t="s">
        <v>161</v>
      </c>
      <c r="AB51" s="44" t="s">
        <v>22</v>
      </c>
      <c r="AC51" s="44">
        <v>26</v>
      </c>
      <c r="AD51" s="44">
        <v>4</v>
      </c>
      <c r="AE51" s="44">
        <v>4</v>
      </c>
      <c r="AF51" s="44">
        <v>4</v>
      </c>
      <c r="AG51" s="44">
        <v>30</v>
      </c>
      <c r="AH51" s="44">
        <v>34</v>
      </c>
      <c r="AN51" s="38" t="s">
        <v>161</v>
      </c>
      <c r="AO51" s="44" t="s">
        <v>22</v>
      </c>
      <c r="AP51" s="44">
        <v>26</v>
      </c>
      <c r="AQ51" s="44">
        <v>4</v>
      </c>
      <c r="AR51" s="44">
        <v>4</v>
      </c>
      <c r="AS51" s="44">
        <v>4</v>
      </c>
      <c r="AT51" s="44">
        <v>30</v>
      </c>
      <c r="AU51" s="44">
        <v>34</v>
      </c>
      <c r="BA51" s="38" t="s">
        <v>161</v>
      </c>
      <c r="BB51" s="44">
        <v>0</v>
      </c>
      <c r="BC51" s="44">
        <v>4</v>
      </c>
      <c r="BD51" s="44">
        <v>0</v>
      </c>
      <c r="BE51" s="44">
        <v>0</v>
      </c>
      <c r="BF51" s="44">
        <v>0</v>
      </c>
      <c r="BG51" s="44">
        <v>4</v>
      </c>
      <c r="BH51" s="44">
        <v>4</v>
      </c>
    </row>
    <row r="52" spans="1:60" ht="32">
      <c r="A52" s="40" t="s">
        <v>55</v>
      </c>
      <c r="B52" s="46">
        <v>1</v>
      </c>
      <c r="C52" s="46">
        <v>105</v>
      </c>
      <c r="D52" s="46">
        <v>16</v>
      </c>
      <c r="E52" s="46">
        <v>16</v>
      </c>
      <c r="F52" s="46">
        <v>17</v>
      </c>
      <c r="G52" s="46">
        <v>121</v>
      </c>
      <c r="H52" s="46">
        <v>138</v>
      </c>
      <c r="N52" s="40" t="s">
        <v>55</v>
      </c>
      <c r="O52" s="46">
        <v>1</v>
      </c>
      <c r="P52" s="46">
        <v>104</v>
      </c>
      <c r="Q52" s="46">
        <v>16</v>
      </c>
      <c r="R52" s="46">
        <v>16</v>
      </c>
      <c r="S52" s="46">
        <v>17</v>
      </c>
      <c r="T52" s="46">
        <v>120</v>
      </c>
      <c r="U52" s="46">
        <v>137</v>
      </c>
      <c r="AA52" s="40" t="s">
        <v>55</v>
      </c>
      <c r="AB52" s="46">
        <v>1</v>
      </c>
      <c r="AC52" s="46">
        <v>85</v>
      </c>
      <c r="AD52" s="46">
        <v>12</v>
      </c>
      <c r="AE52" s="46">
        <v>12</v>
      </c>
      <c r="AF52" s="46">
        <v>13</v>
      </c>
      <c r="AG52" s="46">
        <v>97</v>
      </c>
      <c r="AH52" s="46">
        <v>110</v>
      </c>
      <c r="AN52" s="40" t="s">
        <v>55</v>
      </c>
      <c r="AO52" s="46">
        <v>1</v>
      </c>
      <c r="AP52" s="46">
        <v>87</v>
      </c>
      <c r="AQ52" s="46">
        <v>14</v>
      </c>
      <c r="AR52" s="46">
        <v>14</v>
      </c>
      <c r="AS52" s="46">
        <v>15</v>
      </c>
      <c r="AT52" s="46">
        <v>101</v>
      </c>
      <c r="AU52" s="46">
        <v>116</v>
      </c>
      <c r="BA52" s="40" t="s">
        <v>55</v>
      </c>
      <c r="BB52" s="46">
        <v>0</v>
      </c>
      <c r="BC52" s="46">
        <v>10</v>
      </c>
      <c r="BD52" s="46">
        <v>2</v>
      </c>
      <c r="BE52" s="46">
        <v>2</v>
      </c>
      <c r="BF52" s="46">
        <v>2</v>
      </c>
      <c r="BG52" s="46">
        <v>12</v>
      </c>
      <c r="BH52" s="46">
        <v>14</v>
      </c>
    </row>
    <row r="53" spans="1:60" ht="32">
      <c r="A53" s="40" t="s">
        <v>56</v>
      </c>
      <c r="B53" s="46">
        <v>6</v>
      </c>
      <c r="C53" s="46">
        <v>136</v>
      </c>
      <c r="D53" s="46">
        <v>22</v>
      </c>
      <c r="E53" s="46">
        <v>22</v>
      </c>
      <c r="F53" s="46">
        <v>28</v>
      </c>
      <c r="G53" s="46">
        <v>158</v>
      </c>
      <c r="H53" s="46">
        <v>186</v>
      </c>
      <c r="N53" s="40" t="s">
        <v>56</v>
      </c>
      <c r="O53" s="46">
        <v>6</v>
      </c>
      <c r="P53" s="46">
        <v>136</v>
      </c>
      <c r="Q53" s="46">
        <v>22</v>
      </c>
      <c r="R53" s="46">
        <v>22</v>
      </c>
      <c r="S53" s="46">
        <v>28</v>
      </c>
      <c r="T53" s="46">
        <v>158</v>
      </c>
      <c r="U53" s="46">
        <v>186</v>
      </c>
      <c r="AA53" s="40" t="s">
        <v>56</v>
      </c>
      <c r="AB53" s="46">
        <v>5</v>
      </c>
      <c r="AC53" s="46">
        <v>111</v>
      </c>
      <c r="AD53" s="46">
        <v>17</v>
      </c>
      <c r="AE53" s="46">
        <v>17</v>
      </c>
      <c r="AF53" s="46">
        <v>22</v>
      </c>
      <c r="AG53" s="46">
        <v>128</v>
      </c>
      <c r="AH53" s="46">
        <v>150</v>
      </c>
      <c r="AN53" s="40" t="s">
        <v>56</v>
      </c>
      <c r="AO53" s="46">
        <v>5</v>
      </c>
      <c r="AP53" s="46">
        <v>112</v>
      </c>
      <c r="AQ53" s="46">
        <v>18</v>
      </c>
      <c r="AR53" s="46">
        <v>18</v>
      </c>
      <c r="AS53" s="46">
        <v>23</v>
      </c>
      <c r="AT53" s="46">
        <v>130</v>
      </c>
      <c r="AU53" s="46">
        <v>153</v>
      </c>
      <c r="BA53" s="40" t="s">
        <v>56</v>
      </c>
      <c r="BB53" s="46">
        <v>0</v>
      </c>
      <c r="BC53" s="46">
        <v>12</v>
      </c>
      <c r="BD53" s="46">
        <v>2</v>
      </c>
      <c r="BE53" s="46">
        <v>2</v>
      </c>
      <c r="BF53" s="46">
        <v>2</v>
      </c>
      <c r="BG53" s="46">
        <v>14</v>
      </c>
      <c r="BH53" s="46">
        <v>16</v>
      </c>
    </row>
    <row r="54" spans="1:60" ht="32">
      <c r="A54" s="40" t="s">
        <v>57</v>
      </c>
      <c r="B54" s="46">
        <v>13</v>
      </c>
      <c r="C54" s="46">
        <v>47</v>
      </c>
      <c r="D54" s="46">
        <v>8</v>
      </c>
      <c r="E54" s="46">
        <v>8</v>
      </c>
      <c r="F54" s="46">
        <v>21</v>
      </c>
      <c r="G54" s="46">
        <v>55</v>
      </c>
      <c r="H54" s="46">
        <v>76</v>
      </c>
      <c r="N54" s="40" t="s">
        <v>57</v>
      </c>
      <c r="O54" s="46">
        <v>12</v>
      </c>
      <c r="P54" s="46">
        <v>46</v>
      </c>
      <c r="Q54" s="46">
        <v>8</v>
      </c>
      <c r="R54" s="46">
        <v>8</v>
      </c>
      <c r="S54" s="46">
        <v>20</v>
      </c>
      <c r="T54" s="46">
        <v>54</v>
      </c>
      <c r="U54" s="46">
        <v>74</v>
      </c>
      <c r="AA54" s="40" t="s">
        <v>57</v>
      </c>
      <c r="AB54" s="46">
        <v>10</v>
      </c>
      <c r="AC54" s="46">
        <v>38</v>
      </c>
      <c r="AD54" s="46">
        <v>7</v>
      </c>
      <c r="AE54" s="46">
        <v>7</v>
      </c>
      <c r="AF54" s="46">
        <v>17</v>
      </c>
      <c r="AG54" s="46">
        <v>45</v>
      </c>
      <c r="AH54" s="46">
        <v>62</v>
      </c>
      <c r="AN54" s="40" t="s">
        <v>57</v>
      </c>
      <c r="AO54" s="46">
        <v>10</v>
      </c>
      <c r="AP54" s="46">
        <v>38</v>
      </c>
      <c r="AQ54" s="46">
        <v>7</v>
      </c>
      <c r="AR54" s="46">
        <v>7</v>
      </c>
      <c r="AS54" s="46">
        <v>17</v>
      </c>
      <c r="AT54" s="46">
        <v>45</v>
      </c>
      <c r="AU54" s="46">
        <v>62</v>
      </c>
      <c r="BA54" s="40" t="s">
        <v>57</v>
      </c>
      <c r="BB54" s="46">
        <v>2</v>
      </c>
      <c r="BC54" s="46">
        <v>2</v>
      </c>
      <c r="BD54" s="46">
        <v>0</v>
      </c>
      <c r="BE54" s="46">
        <v>0</v>
      </c>
      <c r="BF54" s="46">
        <v>2</v>
      </c>
      <c r="BG54" s="46">
        <v>2</v>
      </c>
      <c r="BH54" s="46">
        <v>4</v>
      </c>
    </row>
    <row r="55" spans="1:60" ht="32">
      <c r="A55" s="40" t="s">
        <v>58</v>
      </c>
      <c r="B55" s="46">
        <v>22</v>
      </c>
      <c r="C55" s="46">
        <v>32</v>
      </c>
      <c r="D55" s="46">
        <v>7</v>
      </c>
      <c r="E55" s="46">
        <v>7</v>
      </c>
      <c r="F55" s="46">
        <v>29</v>
      </c>
      <c r="G55" s="46">
        <v>39</v>
      </c>
      <c r="H55" s="46">
        <v>68</v>
      </c>
      <c r="N55" s="40" t="s">
        <v>58</v>
      </c>
      <c r="O55" s="46">
        <v>22</v>
      </c>
      <c r="P55" s="46">
        <v>32</v>
      </c>
      <c r="Q55" s="46">
        <v>7</v>
      </c>
      <c r="R55" s="46">
        <v>7</v>
      </c>
      <c r="S55" s="46">
        <v>29</v>
      </c>
      <c r="T55" s="46">
        <v>39</v>
      </c>
      <c r="U55" s="46">
        <v>68</v>
      </c>
      <c r="AA55" s="40" t="s">
        <v>58</v>
      </c>
      <c r="AB55" s="46">
        <v>18</v>
      </c>
      <c r="AC55" s="46">
        <v>26</v>
      </c>
      <c r="AD55" s="46">
        <v>6</v>
      </c>
      <c r="AE55" s="46">
        <v>6</v>
      </c>
      <c r="AF55" s="46">
        <v>24</v>
      </c>
      <c r="AG55" s="46">
        <v>32</v>
      </c>
      <c r="AH55" s="46">
        <v>56</v>
      </c>
      <c r="AN55" s="40" t="s">
        <v>58</v>
      </c>
      <c r="AO55" s="46">
        <v>19</v>
      </c>
      <c r="AP55" s="46">
        <v>27</v>
      </c>
      <c r="AQ55" s="46">
        <v>6</v>
      </c>
      <c r="AR55" s="46">
        <v>6</v>
      </c>
      <c r="AS55" s="46">
        <v>25</v>
      </c>
      <c r="AT55" s="46">
        <v>33</v>
      </c>
      <c r="AU55" s="46">
        <v>58</v>
      </c>
      <c r="BA55" s="40" t="s">
        <v>58</v>
      </c>
      <c r="BB55" s="46">
        <v>2</v>
      </c>
      <c r="BC55" s="46">
        <v>4</v>
      </c>
      <c r="BD55" s="46">
        <v>0</v>
      </c>
      <c r="BE55" s="46">
        <v>0</v>
      </c>
      <c r="BF55" s="46">
        <v>2</v>
      </c>
      <c r="BG55" s="46">
        <v>4</v>
      </c>
      <c r="BH55" s="46">
        <v>6</v>
      </c>
    </row>
    <row r="56" spans="1:60" ht="32">
      <c r="A56" s="40" t="s">
        <v>59</v>
      </c>
      <c r="B56" s="46">
        <v>26</v>
      </c>
      <c r="C56" s="46">
        <v>29</v>
      </c>
      <c r="D56" s="46">
        <v>7</v>
      </c>
      <c r="E56" s="46">
        <v>7</v>
      </c>
      <c r="F56" s="46">
        <v>33</v>
      </c>
      <c r="G56" s="46">
        <v>36</v>
      </c>
      <c r="H56" s="46">
        <v>69</v>
      </c>
      <c r="N56" s="40" t="s">
        <v>59</v>
      </c>
      <c r="O56" s="46">
        <v>25</v>
      </c>
      <c r="P56" s="46">
        <v>28</v>
      </c>
      <c r="Q56" s="46">
        <v>7</v>
      </c>
      <c r="R56" s="46">
        <v>7</v>
      </c>
      <c r="S56" s="46">
        <v>32</v>
      </c>
      <c r="T56" s="46">
        <v>35</v>
      </c>
      <c r="U56" s="46">
        <v>67</v>
      </c>
      <c r="AA56" s="40" t="s">
        <v>59</v>
      </c>
      <c r="AB56" s="46">
        <v>21</v>
      </c>
      <c r="AC56" s="46">
        <v>23</v>
      </c>
      <c r="AD56" s="46">
        <v>6</v>
      </c>
      <c r="AE56" s="46">
        <v>6</v>
      </c>
      <c r="AF56" s="46">
        <v>27</v>
      </c>
      <c r="AG56" s="46">
        <v>29</v>
      </c>
      <c r="AH56" s="46">
        <v>56</v>
      </c>
      <c r="AN56" s="40" t="s">
        <v>59</v>
      </c>
      <c r="AO56" s="46">
        <v>21</v>
      </c>
      <c r="AP56" s="46">
        <v>24</v>
      </c>
      <c r="AQ56" s="46">
        <v>6</v>
      </c>
      <c r="AR56" s="46">
        <v>6</v>
      </c>
      <c r="AS56" s="46">
        <v>27</v>
      </c>
      <c r="AT56" s="46">
        <v>30</v>
      </c>
      <c r="AU56" s="46">
        <v>57</v>
      </c>
      <c r="BA56" s="40" t="s">
        <v>59</v>
      </c>
      <c r="BB56" s="46">
        <v>2</v>
      </c>
      <c r="BC56" s="46">
        <v>2</v>
      </c>
      <c r="BD56" s="46">
        <v>0</v>
      </c>
      <c r="BE56" s="46">
        <v>0</v>
      </c>
      <c r="BF56" s="46">
        <v>2</v>
      </c>
      <c r="BG56" s="46">
        <v>2</v>
      </c>
      <c r="BH56" s="46">
        <v>4</v>
      </c>
    </row>
    <row r="57" spans="1:60" ht="32">
      <c r="A57" s="40" t="s">
        <v>60</v>
      </c>
      <c r="B57" s="46">
        <v>27</v>
      </c>
      <c r="C57" s="46">
        <v>29</v>
      </c>
      <c r="D57" s="46">
        <v>7</v>
      </c>
      <c r="E57" s="46">
        <v>7</v>
      </c>
      <c r="F57" s="46">
        <v>34</v>
      </c>
      <c r="G57" s="46">
        <v>36</v>
      </c>
      <c r="H57" s="46">
        <v>70</v>
      </c>
      <c r="N57" s="40" t="s">
        <v>60</v>
      </c>
      <c r="O57" s="46">
        <v>27</v>
      </c>
      <c r="P57" s="46">
        <v>29</v>
      </c>
      <c r="Q57" s="46">
        <v>7</v>
      </c>
      <c r="R57" s="46">
        <v>7</v>
      </c>
      <c r="S57" s="46">
        <v>34</v>
      </c>
      <c r="T57" s="46">
        <v>36</v>
      </c>
      <c r="U57" s="46">
        <v>70</v>
      </c>
      <c r="AA57" s="40" t="s">
        <v>60</v>
      </c>
      <c r="AB57" s="46">
        <v>22</v>
      </c>
      <c r="AC57" s="46">
        <v>23</v>
      </c>
      <c r="AD57" s="46">
        <v>6</v>
      </c>
      <c r="AE57" s="46">
        <v>6</v>
      </c>
      <c r="AF57" s="46">
        <v>28</v>
      </c>
      <c r="AG57" s="46">
        <v>29</v>
      </c>
      <c r="AH57" s="46">
        <v>57</v>
      </c>
      <c r="AN57" s="40" t="s">
        <v>60</v>
      </c>
      <c r="AO57" s="46">
        <v>22</v>
      </c>
      <c r="AP57" s="46">
        <v>24</v>
      </c>
      <c r="AQ57" s="46">
        <v>6</v>
      </c>
      <c r="AR57" s="46">
        <v>6</v>
      </c>
      <c r="AS57" s="46">
        <v>28</v>
      </c>
      <c r="AT57" s="46">
        <v>30</v>
      </c>
      <c r="AU57" s="46">
        <v>58</v>
      </c>
      <c r="BA57" s="40" t="s">
        <v>60</v>
      </c>
      <c r="BB57" s="46">
        <v>2</v>
      </c>
      <c r="BC57" s="46">
        <v>4</v>
      </c>
      <c r="BD57" s="46">
        <v>0</v>
      </c>
      <c r="BE57" s="46">
        <v>0</v>
      </c>
      <c r="BF57" s="46">
        <v>2</v>
      </c>
      <c r="BG57" s="46">
        <v>4</v>
      </c>
      <c r="BH57" s="46">
        <v>6</v>
      </c>
    </row>
    <row r="58" spans="1:60" ht="32">
      <c r="A58" s="40" t="s">
        <v>61</v>
      </c>
      <c r="B58" s="46">
        <v>33</v>
      </c>
      <c r="C58" s="46">
        <v>32</v>
      </c>
      <c r="D58" s="46">
        <v>9</v>
      </c>
      <c r="E58" s="46">
        <v>9</v>
      </c>
      <c r="F58" s="46">
        <v>42</v>
      </c>
      <c r="G58" s="46">
        <v>41</v>
      </c>
      <c r="H58" s="46">
        <v>83</v>
      </c>
      <c r="N58" s="40" t="s">
        <v>61</v>
      </c>
      <c r="O58" s="46">
        <v>33</v>
      </c>
      <c r="P58" s="46">
        <v>32</v>
      </c>
      <c r="Q58" s="46">
        <v>9</v>
      </c>
      <c r="R58" s="46">
        <v>9</v>
      </c>
      <c r="S58" s="46">
        <v>42</v>
      </c>
      <c r="T58" s="46">
        <v>41</v>
      </c>
      <c r="U58" s="46">
        <v>83</v>
      </c>
      <c r="AA58" s="40" t="s">
        <v>61</v>
      </c>
      <c r="AB58" s="46">
        <v>27</v>
      </c>
      <c r="AC58" s="46">
        <v>26</v>
      </c>
      <c r="AD58" s="46">
        <v>7</v>
      </c>
      <c r="AE58" s="46">
        <v>7</v>
      </c>
      <c r="AF58" s="46">
        <v>34</v>
      </c>
      <c r="AG58" s="46">
        <v>33</v>
      </c>
      <c r="AH58" s="46">
        <v>67</v>
      </c>
      <c r="AN58" s="40" t="s">
        <v>61</v>
      </c>
      <c r="AO58" s="46">
        <v>28</v>
      </c>
      <c r="AP58" s="46">
        <v>27</v>
      </c>
      <c r="AQ58" s="46">
        <v>7</v>
      </c>
      <c r="AR58" s="46">
        <v>7</v>
      </c>
      <c r="AS58" s="46">
        <v>35</v>
      </c>
      <c r="AT58" s="46">
        <v>34</v>
      </c>
      <c r="AU58" s="46">
        <v>69</v>
      </c>
      <c r="BA58" s="40" t="s">
        <v>61</v>
      </c>
      <c r="BB58" s="46">
        <v>2</v>
      </c>
      <c r="BC58" s="46">
        <v>4</v>
      </c>
      <c r="BD58" s="46">
        <v>0</v>
      </c>
      <c r="BE58" s="46">
        <v>0</v>
      </c>
      <c r="BF58" s="46">
        <v>2</v>
      </c>
      <c r="BG58" s="46">
        <v>4</v>
      </c>
      <c r="BH58" s="46">
        <v>6</v>
      </c>
    </row>
    <row r="59" spans="1:60" ht="32">
      <c r="A59" s="40" t="s">
        <v>62</v>
      </c>
      <c r="B59" s="46">
        <v>37</v>
      </c>
      <c r="C59" s="46">
        <v>33</v>
      </c>
      <c r="D59" s="46">
        <v>10</v>
      </c>
      <c r="E59" s="46">
        <v>10</v>
      </c>
      <c r="F59" s="46">
        <v>47</v>
      </c>
      <c r="G59" s="46">
        <v>43</v>
      </c>
      <c r="H59" s="46">
        <v>90</v>
      </c>
      <c r="N59" s="40" t="s">
        <v>62</v>
      </c>
      <c r="O59" s="46">
        <v>37</v>
      </c>
      <c r="P59" s="46">
        <v>33</v>
      </c>
      <c r="Q59" s="46">
        <v>9</v>
      </c>
      <c r="R59" s="46">
        <v>9</v>
      </c>
      <c r="S59" s="46">
        <v>46</v>
      </c>
      <c r="T59" s="46">
        <v>42</v>
      </c>
      <c r="U59" s="46">
        <v>88</v>
      </c>
      <c r="AA59" s="40" t="s">
        <v>62</v>
      </c>
      <c r="AB59" s="46">
        <v>30</v>
      </c>
      <c r="AC59" s="46">
        <v>27</v>
      </c>
      <c r="AD59" s="46">
        <v>8</v>
      </c>
      <c r="AE59" s="46">
        <v>8</v>
      </c>
      <c r="AF59" s="46">
        <v>38</v>
      </c>
      <c r="AG59" s="46">
        <v>35</v>
      </c>
      <c r="AH59" s="46">
        <v>73</v>
      </c>
      <c r="AN59" s="40" t="s">
        <v>62</v>
      </c>
      <c r="AO59" s="46">
        <v>31</v>
      </c>
      <c r="AP59" s="46">
        <v>27</v>
      </c>
      <c r="AQ59" s="46">
        <v>8</v>
      </c>
      <c r="AR59" s="46">
        <v>8</v>
      </c>
      <c r="AS59" s="46">
        <v>39</v>
      </c>
      <c r="AT59" s="46">
        <v>35</v>
      </c>
      <c r="AU59" s="46">
        <v>74</v>
      </c>
      <c r="BA59" s="40" t="s">
        <v>62</v>
      </c>
      <c r="BB59" s="46">
        <v>4</v>
      </c>
      <c r="BC59" s="46">
        <v>4</v>
      </c>
      <c r="BD59" s="46">
        <v>0</v>
      </c>
      <c r="BE59" s="46">
        <v>0</v>
      </c>
      <c r="BF59" s="46">
        <v>4</v>
      </c>
      <c r="BG59" s="46">
        <v>4</v>
      </c>
      <c r="BH59" s="46">
        <v>8</v>
      </c>
    </row>
    <row r="60" spans="1:60" ht="32">
      <c r="A60" s="40" t="s">
        <v>63</v>
      </c>
      <c r="B60" s="46">
        <v>38</v>
      </c>
      <c r="C60" s="46">
        <v>32</v>
      </c>
      <c r="D60" s="46">
        <v>10</v>
      </c>
      <c r="E60" s="46">
        <v>10</v>
      </c>
      <c r="F60" s="46">
        <v>48</v>
      </c>
      <c r="G60" s="46">
        <v>42</v>
      </c>
      <c r="H60" s="46">
        <v>90</v>
      </c>
      <c r="N60" s="40" t="s">
        <v>63</v>
      </c>
      <c r="O60" s="46">
        <v>38</v>
      </c>
      <c r="P60" s="46">
        <v>31</v>
      </c>
      <c r="Q60" s="46">
        <v>9</v>
      </c>
      <c r="R60" s="46">
        <v>9</v>
      </c>
      <c r="S60" s="46">
        <v>47</v>
      </c>
      <c r="T60" s="46">
        <v>40</v>
      </c>
      <c r="U60" s="46">
        <v>87</v>
      </c>
      <c r="AA60" s="40" t="s">
        <v>63</v>
      </c>
      <c r="AB60" s="46">
        <v>31</v>
      </c>
      <c r="AC60" s="46">
        <v>26</v>
      </c>
      <c r="AD60" s="46">
        <v>8</v>
      </c>
      <c r="AE60" s="46">
        <v>8</v>
      </c>
      <c r="AF60" s="46">
        <v>39</v>
      </c>
      <c r="AG60" s="46">
        <v>34</v>
      </c>
      <c r="AH60" s="46">
        <v>73</v>
      </c>
      <c r="AN60" s="40" t="s">
        <v>63</v>
      </c>
      <c r="AO60" s="46">
        <v>31</v>
      </c>
      <c r="AP60" s="46">
        <v>26</v>
      </c>
      <c r="AQ60" s="46">
        <v>8</v>
      </c>
      <c r="AR60" s="46">
        <v>8</v>
      </c>
      <c r="AS60" s="46">
        <v>39</v>
      </c>
      <c r="AT60" s="46">
        <v>34</v>
      </c>
      <c r="AU60" s="46">
        <v>73</v>
      </c>
      <c r="BA60" s="40" t="s">
        <v>63</v>
      </c>
      <c r="BB60" s="46">
        <v>4</v>
      </c>
      <c r="BC60" s="46">
        <v>4</v>
      </c>
      <c r="BD60" s="46">
        <v>2</v>
      </c>
      <c r="BE60" s="46">
        <v>2</v>
      </c>
      <c r="BF60" s="46">
        <v>6</v>
      </c>
      <c r="BG60" s="46">
        <v>6</v>
      </c>
      <c r="BH60" s="46">
        <v>12</v>
      </c>
    </row>
    <row r="61" spans="1:60" ht="32">
      <c r="A61" s="40" t="s">
        <v>64</v>
      </c>
      <c r="B61" s="46">
        <v>42</v>
      </c>
      <c r="C61" s="46">
        <v>33</v>
      </c>
      <c r="D61" s="46">
        <v>10</v>
      </c>
      <c r="E61" s="46">
        <v>10</v>
      </c>
      <c r="F61" s="46">
        <v>52</v>
      </c>
      <c r="G61" s="46">
        <v>43</v>
      </c>
      <c r="H61" s="46">
        <v>95</v>
      </c>
      <c r="N61" s="40" t="s">
        <v>64</v>
      </c>
      <c r="O61" s="46">
        <v>43</v>
      </c>
      <c r="P61" s="46">
        <v>33</v>
      </c>
      <c r="Q61" s="46">
        <v>11</v>
      </c>
      <c r="R61" s="46">
        <v>11</v>
      </c>
      <c r="S61" s="46">
        <v>54</v>
      </c>
      <c r="T61" s="46">
        <v>44</v>
      </c>
      <c r="U61" s="46">
        <v>98</v>
      </c>
      <c r="AA61" s="40" t="s">
        <v>64</v>
      </c>
      <c r="AB61" s="46">
        <v>35</v>
      </c>
      <c r="AC61" s="46">
        <v>27</v>
      </c>
      <c r="AD61" s="46">
        <v>9</v>
      </c>
      <c r="AE61" s="46">
        <v>9</v>
      </c>
      <c r="AF61" s="46">
        <v>44</v>
      </c>
      <c r="AG61" s="46">
        <v>36</v>
      </c>
      <c r="AH61" s="46">
        <v>80</v>
      </c>
      <c r="AN61" s="40" t="s">
        <v>64</v>
      </c>
      <c r="AO61" s="46">
        <v>35</v>
      </c>
      <c r="AP61" s="46">
        <v>28</v>
      </c>
      <c r="AQ61" s="46">
        <v>9</v>
      </c>
      <c r="AR61" s="46">
        <v>9</v>
      </c>
      <c r="AS61" s="46">
        <v>44</v>
      </c>
      <c r="AT61" s="46">
        <v>37</v>
      </c>
      <c r="AU61" s="46">
        <v>81</v>
      </c>
      <c r="BA61" s="40" t="s">
        <v>64</v>
      </c>
      <c r="BB61" s="46">
        <v>4</v>
      </c>
      <c r="BC61" s="46">
        <v>4</v>
      </c>
      <c r="BD61" s="46">
        <v>2</v>
      </c>
      <c r="BE61" s="46">
        <v>2</v>
      </c>
      <c r="BF61" s="46">
        <v>6</v>
      </c>
      <c r="BG61" s="46">
        <v>6</v>
      </c>
      <c r="BH61" s="46">
        <v>12</v>
      </c>
    </row>
    <row r="62" spans="1:60" ht="32">
      <c r="A62" s="40" t="s">
        <v>65</v>
      </c>
      <c r="B62" s="46">
        <v>50</v>
      </c>
      <c r="C62" s="46">
        <v>32</v>
      </c>
      <c r="D62" s="46">
        <v>11</v>
      </c>
      <c r="E62" s="46">
        <v>11</v>
      </c>
      <c r="F62" s="46">
        <v>61</v>
      </c>
      <c r="G62" s="46">
        <v>43</v>
      </c>
      <c r="H62" s="46">
        <v>104</v>
      </c>
      <c r="N62" s="40" t="s">
        <v>65</v>
      </c>
      <c r="O62" s="46">
        <v>49</v>
      </c>
      <c r="P62" s="46">
        <v>31</v>
      </c>
      <c r="Q62" s="46">
        <v>11</v>
      </c>
      <c r="R62" s="46">
        <v>11</v>
      </c>
      <c r="S62" s="46">
        <v>60</v>
      </c>
      <c r="T62" s="46">
        <v>42</v>
      </c>
      <c r="U62" s="46">
        <v>102</v>
      </c>
      <c r="AA62" s="40" t="s">
        <v>65</v>
      </c>
      <c r="AB62" s="46">
        <v>40</v>
      </c>
      <c r="AC62" s="46">
        <v>26</v>
      </c>
      <c r="AD62" s="46">
        <v>9</v>
      </c>
      <c r="AE62" s="46">
        <v>9</v>
      </c>
      <c r="AF62" s="46">
        <v>49</v>
      </c>
      <c r="AG62" s="46">
        <v>35</v>
      </c>
      <c r="AH62" s="46">
        <v>84</v>
      </c>
      <c r="AN62" s="40" t="s">
        <v>65</v>
      </c>
      <c r="AO62" s="46">
        <v>41</v>
      </c>
      <c r="AP62" s="46">
        <v>27</v>
      </c>
      <c r="AQ62" s="46">
        <v>9</v>
      </c>
      <c r="AR62" s="46">
        <v>9</v>
      </c>
      <c r="AS62" s="46">
        <v>50</v>
      </c>
      <c r="AT62" s="46">
        <v>36</v>
      </c>
      <c r="AU62" s="46">
        <v>86</v>
      </c>
      <c r="BA62" s="40" t="s">
        <v>65</v>
      </c>
      <c r="BB62" s="46">
        <v>4</v>
      </c>
      <c r="BC62" s="46">
        <v>4</v>
      </c>
      <c r="BD62" s="46">
        <v>2</v>
      </c>
      <c r="BE62" s="46">
        <v>2</v>
      </c>
      <c r="BF62" s="46">
        <v>6</v>
      </c>
      <c r="BG62" s="46">
        <v>6</v>
      </c>
      <c r="BH62" s="46">
        <v>12</v>
      </c>
    </row>
    <row r="63" spans="1:60" ht="32">
      <c r="A63" s="40" t="s">
        <v>66</v>
      </c>
      <c r="B63" s="46">
        <v>98</v>
      </c>
      <c r="C63" s="46">
        <v>23</v>
      </c>
      <c r="D63" s="46">
        <v>18</v>
      </c>
      <c r="E63" s="46">
        <v>18</v>
      </c>
      <c r="F63" s="46">
        <v>116</v>
      </c>
      <c r="G63" s="46">
        <v>41</v>
      </c>
      <c r="H63" s="46">
        <v>157</v>
      </c>
      <c r="N63" s="40" t="s">
        <v>66</v>
      </c>
      <c r="O63" s="46">
        <v>97</v>
      </c>
      <c r="P63" s="46">
        <v>23</v>
      </c>
      <c r="Q63" s="46">
        <v>18</v>
      </c>
      <c r="R63" s="46">
        <v>18</v>
      </c>
      <c r="S63" s="46">
        <v>115</v>
      </c>
      <c r="T63" s="46">
        <v>41</v>
      </c>
      <c r="U63" s="46">
        <v>156</v>
      </c>
      <c r="AA63" s="40" t="s">
        <v>66</v>
      </c>
      <c r="AB63" s="46">
        <v>80</v>
      </c>
      <c r="AC63" s="46">
        <v>19</v>
      </c>
      <c r="AD63" s="46">
        <v>14</v>
      </c>
      <c r="AE63" s="46">
        <v>14</v>
      </c>
      <c r="AF63" s="46">
        <v>94</v>
      </c>
      <c r="AG63" s="46">
        <v>33</v>
      </c>
      <c r="AH63" s="46">
        <v>127</v>
      </c>
      <c r="AN63" s="40" t="s">
        <v>66</v>
      </c>
      <c r="AO63" s="46">
        <v>81</v>
      </c>
      <c r="AP63" s="46">
        <v>19</v>
      </c>
      <c r="AQ63" s="46">
        <v>15</v>
      </c>
      <c r="AR63" s="46">
        <v>15</v>
      </c>
      <c r="AS63" s="46">
        <v>96</v>
      </c>
      <c r="AT63" s="46">
        <v>34</v>
      </c>
      <c r="AU63" s="46">
        <v>130</v>
      </c>
      <c r="BA63" s="40" t="s">
        <v>66</v>
      </c>
      <c r="BB63" s="46">
        <v>12</v>
      </c>
      <c r="BC63" s="46">
        <v>2</v>
      </c>
      <c r="BD63" s="46">
        <v>2</v>
      </c>
      <c r="BE63" s="46">
        <v>2</v>
      </c>
      <c r="BF63" s="46">
        <v>14</v>
      </c>
      <c r="BG63" s="46">
        <v>4</v>
      </c>
      <c r="BH63" s="46">
        <v>18</v>
      </c>
    </row>
    <row r="64" spans="1:60" ht="32">
      <c r="A64" s="40" t="s">
        <v>67</v>
      </c>
      <c r="B64" s="46">
        <v>112</v>
      </c>
      <c r="C64" s="46">
        <v>18</v>
      </c>
      <c r="D64" s="46">
        <v>19</v>
      </c>
      <c r="E64" s="46">
        <v>19</v>
      </c>
      <c r="F64" s="46">
        <v>131</v>
      </c>
      <c r="G64" s="46">
        <v>37</v>
      </c>
      <c r="H64" s="46">
        <v>168</v>
      </c>
      <c r="N64" s="40" t="s">
        <v>67</v>
      </c>
      <c r="O64" s="46">
        <v>111</v>
      </c>
      <c r="P64" s="46">
        <v>18</v>
      </c>
      <c r="Q64" s="46">
        <v>19</v>
      </c>
      <c r="R64" s="46">
        <v>19</v>
      </c>
      <c r="S64" s="46">
        <v>130</v>
      </c>
      <c r="T64" s="46">
        <v>37</v>
      </c>
      <c r="U64" s="46">
        <v>167</v>
      </c>
      <c r="AA64" s="40" t="s">
        <v>67</v>
      </c>
      <c r="AB64" s="46">
        <v>91</v>
      </c>
      <c r="AC64" s="46">
        <v>15</v>
      </c>
      <c r="AD64" s="46">
        <v>15</v>
      </c>
      <c r="AE64" s="46">
        <v>15</v>
      </c>
      <c r="AF64" s="46">
        <v>106</v>
      </c>
      <c r="AG64" s="46">
        <v>30</v>
      </c>
      <c r="AH64" s="46">
        <v>136</v>
      </c>
      <c r="AN64" s="40" t="s">
        <v>67</v>
      </c>
      <c r="AO64" s="46">
        <v>93</v>
      </c>
      <c r="AP64" s="46">
        <v>15</v>
      </c>
      <c r="AQ64" s="46">
        <v>16</v>
      </c>
      <c r="AR64" s="46">
        <v>16</v>
      </c>
      <c r="AS64" s="46">
        <v>109</v>
      </c>
      <c r="AT64" s="46">
        <v>31</v>
      </c>
      <c r="AU64" s="46">
        <v>140</v>
      </c>
      <c r="BA64" s="40" t="s">
        <v>67</v>
      </c>
      <c r="BB64" s="46">
        <v>12</v>
      </c>
      <c r="BC64" s="46">
        <v>2</v>
      </c>
      <c r="BD64" s="46">
        <v>2</v>
      </c>
      <c r="BE64" s="46">
        <v>2</v>
      </c>
      <c r="BF64" s="46">
        <v>14</v>
      </c>
      <c r="BG64" s="46">
        <v>4</v>
      </c>
      <c r="BH64" s="46">
        <v>18</v>
      </c>
    </row>
    <row r="65" spans="1:60" ht="32">
      <c r="A65" s="40" t="s">
        <v>68</v>
      </c>
      <c r="B65" s="46">
        <v>83</v>
      </c>
      <c r="C65" s="46">
        <v>12</v>
      </c>
      <c r="D65" s="46">
        <v>13</v>
      </c>
      <c r="E65" s="46">
        <v>13</v>
      </c>
      <c r="F65" s="46">
        <v>96</v>
      </c>
      <c r="G65" s="46">
        <v>25</v>
      </c>
      <c r="H65" s="46">
        <v>121</v>
      </c>
      <c r="N65" s="40" t="s">
        <v>68</v>
      </c>
      <c r="O65" s="46">
        <v>82</v>
      </c>
      <c r="P65" s="46">
        <v>12</v>
      </c>
      <c r="Q65" s="46">
        <v>13</v>
      </c>
      <c r="R65" s="46">
        <v>13</v>
      </c>
      <c r="S65" s="46">
        <v>95</v>
      </c>
      <c r="T65" s="46">
        <v>25</v>
      </c>
      <c r="U65" s="46">
        <v>120</v>
      </c>
      <c r="AA65" s="40" t="s">
        <v>68</v>
      </c>
      <c r="AB65" s="46">
        <v>67</v>
      </c>
      <c r="AC65" s="46">
        <v>10</v>
      </c>
      <c r="AD65" s="46">
        <v>11</v>
      </c>
      <c r="AE65" s="46">
        <v>11</v>
      </c>
      <c r="AF65" s="46">
        <v>78</v>
      </c>
      <c r="AG65" s="46">
        <v>21</v>
      </c>
      <c r="AH65" s="46">
        <v>99</v>
      </c>
      <c r="AN65" s="40" t="s">
        <v>68</v>
      </c>
      <c r="AO65" s="46">
        <v>69</v>
      </c>
      <c r="AP65" s="46">
        <v>10</v>
      </c>
      <c r="AQ65" s="46">
        <v>11</v>
      </c>
      <c r="AR65" s="46">
        <v>11</v>
      </c>
      <c r="AS65" s="46">
        <v>80</v>
      </c>
      <c r="AT65" s="46">
        <v>21</v>
      </c>
      <c r="AU65" s="46">
        <v>101</v>
      </c>
      <c r="BA65" s="40" t="s">
        <v>68</v>
      </c>
      <c r="BB65" s="46">
        <v>10</v>
      </c>
      <c r="BC65" s="46">
        <v>2</v>
      </c>
      <c r="BD65" s="46">
        <v>2</v>
      </c>
      <c r="BE65" s="46">
        <v>2</v>
      </c>
      <c r="BF65" s="46">
        <v>12</v>
      </c>
      <c r="BG65" s="46">
        <v>4</v>
      </c>
      <c r="BH65" s="46">
        <v>16</v>
      </c>
    </row>
    <row r="66" spans="1:60">
      <c r="A66" s="40" t="s">
        <v>162</v>
      </c>
      <c r="B66" s="46">
        <v>41</v>
      </c>
      <c r="C66" s="46">
        <v>5</v>
      </c>
      <c r="D66" s="46">
        <v>6</v>
      </c>
      <c r="E66" s="46">
        <v>6</v>
      </c>
      <c r="F66" s="46">
        <v>47</v>
      </c>
      <c r="G66" s="46">
        <v>11</v>
      </c>
      <c r="H66" s="46">
        <v>58</v>
      </c>
      <c r="N66" s="40" t="s">
        <v>162</v>
      </c>
      <c r="O66" s="46">
        <v>41</v>
      </c>
      <c r="P66" s="46">
        <v>5</v>
      </c>
      <c r="Q66" s="46">
        <v>6</v>
      </c>
      <c r="R66" s="46">
        <v>6</v>
      </c>
      <c r="S66" s="46">
        <v>47</v>
      </c>
      <c r="T66" s="46">
        <v>11</v>
      </c>
      <c r="U66" s="46">
        <v>58</v>
      </c>
      <c r="AA66" s="40" t="s">
        <v>162</v>
      </c>
      <c r="AB66" s="46">
        <v>34</v>
      </c>
      <c r="AC66" s="46">
        <v>4</v>
      </c>
      <c r="AD66" s="46">
        <v>5</v>
      </c>
      <c r="AE66" s="46">
        <v>5</v>
      </c>
      <c r="AF66" s="46">
        <v>39</v>
      </c>
      <c r="AG66" s="46">
        <v>9</v>
      </c>
      <c r="AH66" s="46">
        <v>48</v>
      </c>
      <c r="AN66" s="40" t="s">
        <v>162</v>
      </c>
      <c r="AO66" s="46">
        <v>34</v>
      </c>
      <c r="AP66" s="46">
        <v>4</v>
      </c>
      <c r="AQ66" s="46">
        <v>5</v>
      </c>
      <c r="AR66" s="46">
        <v>5</v>
      </c>
      <c r="AS66" s="46">
        <v>39</v>
      </c>
      <c r="AT66" s="46">
        <v>9</v>
      </c>
      <c r="AU66" s="46">
        <v>48</v>
      </c>
      <c r="BA66" s="40" t="s">
        <v>162</v>
      </c>
      <c r="BB66" s="46">
        <v>4</v>
      </c>
      <c r="BC66" s="46">
        <v>0</v>
      </c>
      <c r="BD66" s="46">
        <v>2</v>
      </c>
      <c r="BE66" s="46">
        <v>2</v>
      </c>
      <c r="BF66" s="46">
        <v>6</v>
      </c>
      <c r="BG66" s="46">
        <v>2</v>
      </c>
      <c r="BH66" s="46">
        <v>8</v>
      </c>
    </row>
    <row r="67" spans="1:60" ht="17.5" thickBot="1">
      <c r="A67" s="42" t="s">
        <v>160</v>
      </c>
      <c r="B67" s="48">
        <v>629</v>
      </c>
      <c r="C67" s="48">
        <v>629</v>
      </c>
      <c r="D67" s="48">
        <v>178</v>
      </c>
      <c r="E67" s="48">
        <v>178</v>
      </c>
      <c r="F67" s="48">
        <v>807</v>
      </c>
      <c r="G67" s="48">
        <v>807</v>
      </c>
      <c r="H67" s="51">
        <v>1614</v>
      </c>
      <c r="N67" s="42" t="s">
        <v>160</v>
      </c>
      <c r="O67" s="48">
        <v>624</v>
      </c>
      <c r="P67" s="48">
        <v>624</v>
      </c>
      <c r="Q67" s="48">
        <v>177</v>
      </c>
      <c r="R67" s="48">
        <v>177</v>
      </c>
      <c r="S67" s="48">
        <v>801</v>
      </c>
      <c r="T67" s="48">
        <v>801</v>
      </c>
      <c r="U67" s="51">
        <v>1602</v>
      </c>
      <c r="AA67" s="42" t="s">
        <v>160</v>
      </c>
      <c r="AB67" s="48">
        <v>512</v>
      </c>
      <c r="AC67" s="48">
        <v>512</v>
      </c>
      <c r="AD67" s="48">
        <v>144</v>
      </c>
      <c r="AE67" s="48">
        <v>144</v>
      </c>
      <c r="AF67" s="48">
        <v>656</v>
      </c>
      <c r="AG67" s="48">
        <v>656</v>
      </c>
      <c r="AH67" s="51">
        <v>1312</v>
      </c>
      <c r="AN67" s="42" t="s">
        <v>160</v>
      </c>
      <c r="AO67" s="48">
        <v>521</v>
      </c>
      <c r="AP67" s="48">
        <v>521</v>
      </c>
      <c r="AQ67" s="48">
        <v>149</v>
      </c>
      <c r="AR67" s="48">
        <v>149</v>
      </c>
      <c r="AS67" s="48">
        <v>670</v>
      </c>
      <c r="AT67" s="48">
        <v>670</v>
      </c>
      <c r="AU67" s="51">
        <v>1340</v>
      </c>
      <c r="BA67" s="42" t="s">
        <v>160</v>
      </c>
      <c r="BB67" s="48">
        <v>64</v>
      </c>
      <c r="BC67" s="48">
        <v>64</v>
      </c>
      <c r="BD67" s="48">
        <v>18</v>
      </c>
      <c r="BE67" s="48">
        <v>18</v>
      </c>
      <c r="BF67" s="48">
        <v>82</v>
      </c>
      <c r="BG67" s="48">
        <v>82</v>
      </c>
      <c r="BH67" s="48">
        <v>164</v>
      </c>
    </row>
    <row r="68" spans="1:60" ht="17.5" thickTop="1"/>
    <row r="69" spans="1:60">
      <c r="B69">
        <f>B45/B67</f>
        <v>1.5866454689984102</v>
      </c>
      <c r="C69">
        <f>C45/C67</f>
        <v>1.5866454689984102</v>
      </c>
      <c r="D69">
        <f>D45/D67</f>
        <v>1.247191011235955</v>
      </c>
      <c r="E69">
        <f>E45/E67</f>
        <v>1.247191011235955</v>
      </c>
      <c r="O69">
        <f>O45/O67</f>
        <v>1.5897435897435896</v>
      </c>
      <c r="P69">
        <f>P45/P67</f>
        <v>1.5897435897435896</v>
      </c>
      <c r="Q69">
        <f>Q45/Q67</f>
        <v>1.2485875706214689</v>
      </c>
      <c r="R69">
        <f>R45/R67</f>
        <v>1.2485875706214689</v>
      </c>
      <c r="AB69">
        <f t="shared" ref="AB69:AE69" si="0">AB45/AB67</f>
        <v>1.587890625</v>
      </c>
      <c r="AC69">
        <f t="shared" si="0"/>
        <v>1.587890625</v>
      </c>
      <c r="AD69">
        <f t="shared" si="0"/>
        <v>1.2569444444444444</v>
      </c>
      <c r="AE69">
        <f t="shared" si="0"/>
        <v>1.2569444444444444</v>
      </c>
      <c r="AO69">
        <f t="shared" ref="AO69:AR69" si="1">AO45/AO67</f>
        <v>1.5911708253358925</v>
      </c>
      <c r="AP69">
        <f t="shared" si="1"/>
        <v>1.5911708253358925</v>
      </c>
      <c r="AQ69">
        <f t="shared" si="1"/>
        <v>1.2416107382550337</v>
      </c>
      <c r="AR69">
        <f t="shared" si="1"/>
        <v>1.2416107382550337</v>
      </c>
      <c r="BB69">
        <f t="shared" ref="BB69:BE69" si="2">BB45/BB67</f>
        <v>1.625</v>
      </c>
      <c r="BC69">
        <f t="shared" si="2"/>
        <v>1.625</v>
      </c>
      <c r="BD69">
        <f t="shared" si="2"/>
        <v>1.2222222222222223</v>
      </c>
      <c r="BE69">
        <f t="shared" si="2"/>
        <v>1.2222222222222223</v>
      </c>
    </row>
  </sheetData>
  <mergeCells count="80">
    <mergeCell ref="BB48:BH48"/>
    <mergeCell ref="BB49:BC49"/>
    <mergeCell ref="BD49:BE49"/>
    <mergeCell ref="BF49:BH49"/>
    <mergeCell ref="AA48:AA50"/>
    <mergeCell ref="AB48:AH48"/>
    <mergeCell ref="AB49:AC49"/>
    <mergeCell ref="AD49:AE49"/>
    <mergeCell ref="AF49:AH49"/>
    <mergeCell ref="AN48:AN50"/>
    <mergeCell ref="AO48:AU48"/>
    <mergeCell ref="AO49:AP49"/>
    <mergeCell ref="AQ49:AR49"/>
    <mergeCell ref="AS49:AU49"/>
    <mergeCell ref="BA48:BA50"/>
    <mergeCell ref="BA26:BA28"/>
    <mergeCell ref="BB26:BL26"/>
    <mergeCell ref="BB27:BC27"/>
    <mergeCell ref="BD27:BE27"/>
    <mergeCell ref="BF27:BG27"/>
    <mergeCell ref="BH27:BI27"/>
    <mergeCell ref="BJ27:BL27"/>
    <mergeCell ref="AF27:AG27"/>
    <mergeCell ref="AH27:AI27"/>
    <mergeCell ref="AJ27:AL27"/>
    <mergeCell ref="AN26:AN28"/>
    <mergeCell ref="AO26:AY26"/>
    <mergeCell ref="AO27:AP27"/>
    <mergeCell ref="AQ27:AR27"/>
    <mergeCell ref="AS27:AT27"/>
    <mergeCell ref="AU27:AV27"/>
    <mergeCell ref="AW27:AY27"/>
    <mergeCell ref="N48:N50"/>
    <mergeCell ref="AB14:AB15"/>
    <mergeCell ref="AB16:AB17"/>
    <mergeCell ref="AB18:AB19"/>
    <mergeCell ref="AB20:AB21"/>
    <mergeCell ref="N26:N28"/>
    <mergeCell ref="O26:Y26"/>
    <mergeCell ref="O27:P27"/>
    <mergeCell ref="Q27:R27"/>
    <mergeCell ref="S27:T27"/>
    <mergeCell ref="U27:V27"/>
    <mergeCell ref="W27:Y27"/>
    <mergeCell ref="AA26:AA28"/>
    <mergeCell ref="AB26:AL26"/>
    <mergeCell ref="AB27:AC27"/>
    <mergeCell ref="AD27:AE27"/>
    <mergeCell ref="A48:A50"/>
    <mergeCell ref="B48:H48"/>
    <mergeCell ref="B49:C49"/>
    <mergeCell ref="D49:E49"/>
    <mergeCell ref="F49:H49"/>
    <mergeCell ref="AB4:AC5"/>
    <mergeCell ref="AD4:AE4"/>
    <mergeCell ref="AB6:AB7"/>
    <mergeCell ref="AB8:AB9"/>
    <mergeCell ref="AB10:AB11"/>
    <mergeCell ref="AB12:AB13"/>
    <mergeCell ref="A26:A28"/>
    <mergeCell ref="B26:L26"/>
    <mergeCell ref="B27:C27"/>
    <mergeCell ref="D27:E27"/>
    <mergeCell ref="F27:G27"/>
    <mergeCell ref="H27:I27"/>
    <mergeCell ref="J27:L27"/>
    <mergeCell ref="L4:L7"/>
    <mergeCell ref="M4:T4"/>
    <mergeCell ref="M5:R5"/>
    <mergeCell ref="S5:T6"/>
    <mergeCell ref="M6:N6"/>
    <mergeCell ref="O6:P6"/>
    <mergeCell ref="Q6:R6"/>
    <mergeCell ref="A4:A7"/>
    <mergeCell ref="B4:I4"/>
    <mergeCell ref="B5:G5"/>
    <mergeCell ref="H5:I6"/>
    <mergeCell ref="B6:C6"/>
    <mergeCell ref="D6:E6"/>
    <mergeCell ref="F6:G6"/>
  </mergeCells>
  <phoneticPr fontId="2" type="noConversion"/>
  <pageMargins left="0.7" right="0.7" top="0.75" bottom="0.75" header="0.3" footer="0.3"/>
</worksheet>
</file>

<file path=xl/worksheets/sheet8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N108"/>
  <sheetViews>
    <sheetView zoomScale="70" zoomScaleNormal="70" workbookViewId="0">
      <selection activeCell="K22" sqref="K22"/>
    </sheetView>
  </sheetViews>
  <sheetFormatPr defaultRowHeight="17"/>
  <cols>
    <col min="11" max="11" width="41.5" bestFit="1" customWidth="1"/>
    <col min="15" max="15" width="11" bestFit="1" customWidth="1"/>
    <col min="16" max="16" width="10" bestFit="1" customWidth="1"/>
    <col min="17" max="17" width="9.08203125" bestFit="1" customWidth="1"/>
    <col min="22" max="22" width="11.5" bestFit="1" customWidth="1"/>
    <col min="25" max="25" width="20.58203125" bestFit="1" customWidth="1"/>
    <col min="31" max="31" width="11.75" bestFit="1" customWidth="1"/>
    <col min="32" max="32" width="11" bestFit="1" customWidth="1"/>
  </cols>
  <sheetData>
    <row r="1" spans="1:40">
      <c r="A1" t="s">
        <v>151</v>
      </c>
    </row>
    <row r="2" spans="1:40">
      <c r="A2" s="32" t="s">
        <v>149</v>
      </c>
      <c r="B2" s="32" t="s">
        <v>150</v>
      </c>
    </row>
    <row r="4" spans="1:40">
      <c r="A4" t="s">
        <v>0</v>
      </c>
      <c r="K4" t="s">
        <v>276</v>
      </c>
      <c r="M4" t="s">
        <v>257</v>
      </c>
      <c r="S4" t="s">
        <v>253</v>
      </c>
    </row>
    <row r="5" spans="1:40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</row>
    <row r="6" spans="1:40" ht="17.25" customHeight="1" thickTop="1" thickBot="1">
      <c r="A6" s="573" t="s">
        <v>27</v>
      </c>
      <c r="B6" s="574"/>
      <c r="C6" s="1" t="s">
        <v>2</v>
      </c>
      <c r="D6" s="590" t="s">
        <v>5</v>
      </c>
      <c r="E6" s="574"/>
      <c r="F6" s="590" t="s">
        <v>7</v>
      </c>
      <c r="G6" s="591"/>
      <c r="H6" s="592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593" t="s">
        <v>251</v>
      </c>
      <c r="T6" s="594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344</v>
      </c>
      <c r="AG6" t="s">
        <v>345</v>
      </c>
      <c r="AL6" s="76" t="s">
        <v>346</v>
      </c>
      <c r="AN6" t="s">
        <v>245</v>
      </c>
    </row>
    <row r="7" spans="1:40" ht="18" thickTop="1" thickBot="1">
      <c r="A7" s="575"/>
      <c r="B7" s="576"/>
      <c r="C7" s="2" t="s">
        <v>3</v>
      </c>
      <c r="D7" s="595" t="s">
        <v>6</v>
      </c>
      <c r="E7" s="596"/>
      <c r="F7" s="595" t="s">
        <v>8</v>
      </c>
      <c r="G7" s="597"/>
      <c r="H7" s="598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599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3" t="s">
        <v>347</v>
      </c>
      <c r="AG7" s="574"/>
      <c r="AH7" s="1" t="s">
        <v>340</v>
      </c>
      <c r="AI7" s="579" t="s">
        <v>348</v>
      </c>
      <c r="AJ7" s="580"/>
      <c r="AK7" s="580"/>
      <c r="AL7" s="580"/>
      <c r="AM7" s="580"/>
      <c r="AN7" s="581"/>
    </row>
    <row r="8" spans="1:40" ht="18" thickTop="1" thickBot="1">
      <c r="A8" s="577"/>
      <c r="B8" s="578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00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575"/>
      <c r="AG8" s="576"/>
      <c r="AH8" s="2" t="s">
        <v>3</v>
      </c>
      <c r="AI8" s="582" t="s">
        <v>341</v>
      </c>
      <c r="AJ8" s="583"/>
      <c r="AK8" s="584"/>
      <c r="AL8" s="582" t="s">
        <v>342</v>
      </c>
      <c r="AM8" s="583"/>
      <c r="AN8" s="585"/>
    </row>
    <row r="9" spans="1:40" ht="18" thickTop="1" thickBot="1">
      <c r="A9" s="586" t="s">
        <v>12</v>
      </c>
      <c r="B9" s="587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00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7"/>
      <c r="AG9" s="578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</row>
    <row r="10" spans="1:40" ht="16.5" customHeight="1" thickTop="1">
      <c r="A10" s="588" t="s">
        <v>13</v>
      </c>
      <c r="B10" s="58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1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586" t="s">
        <v>349</v>
      </c>
      <c r="AG10" s="587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</row>
    <row r="11" spans="1:40">
      <c r="A11" s="588" t="s">
        <v>14</v>
      </c>
      <c r="B11" s="58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2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88" t="s">
        <v>136</v>
      </c>
      <c r="AG11" s="58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</row>
    <row r="12" spans="1:40">
      <c r="A12" s="588" t="s">
        <v>15</v>
      </c>
      <c r="B12" s="58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1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88" t="s">
        <v>137</v>
      </c>
      <c r="AG12" s="58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40">
      <c r="A13" s="588" t="s">
        <v>16</v>
      </c>
      <c r="B13" s="58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2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88" t="s">
        <v>350</v>
      </c>
      <c r="AG13" s="58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40">
      <c r="A14" s="588" t="s">
        <v>17</v>
      </c>
      <c r="B14" s="58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1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88" t="s">
        <v>351</v>
      </c>
      <c r="AG14" s="58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40" ht="16.5" customHeight="1">
      <c r="A15" s="12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2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88" t="s">
        <v>352</v>
      </c>
      <c r="AG15" s="58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40">
      <c r="A16" s="13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1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91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3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2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90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03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90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88" t="s">
        <v>24</v>
      </c>
      <c r="B19" s="58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88" t="s">
        <v>25</v>
      </c>
      <c r="B20" s="58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88" t="s">
        <v>353</v>
      </c>
      <c r="AG20" s="58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4" t="s">
        <v>26</v>
      </c>
      <c r="B21" s="605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>
        <f>F88</f>
        <v>0</v>
      </c>
      <c r="AF21" s="588" t="s">
        <v>354</v>
      </c>
      <c r="AG21" s="58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Z22" s="75"/>
      <c r="AA22" t="s">
        <v>235</v>
      </c>
      <c r="AF22" s="604" t="s">
        <v>26</v>
      </c>
      <c r="AG22" s="605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72</v>
      </c>
      <c r="Q24" s="76" t="s">
        <v>244</v>
      </c>
      <c r="S24" t="s">
        <v>245</v>
      </c>
    </row>
    <row r="25" spans="1:40" ht="17.5" thickTop="1">
      <c r="A25" s="573" t="s">
        <v>1</v>
      </c>
      <c r="B25" s="574"/>
      <c r="C25" s="1" t="s">
        <v>2</v>
      </c>
      <c r="D25" s="579" t="s">
        <v>29</v>
      </c>
      <c r="E25" s="580"/>
      <c r="F25" s="580"/>
      <c r="G25" s="580"/>
      <c r="H25" s="580"/>
      <c r="I25" s="581"/>
      <c r="K25" s="573" t="s">
        <v>27</v>
      </c>
      <c r="L25" s="574"/>
      <c r="M25" s="1" t="s">
        <v>2</v>
      </c>
      <c r="N25" s="579" t="s">
        <v>234</v>
      </c>
      <c r="O25" s="580"/>
      <c r="P25" s="580"/>
      <c r="Q25" s="580"/>
      <c r="R25" s="580"/>
      <c r="S25" s="581"/>
    </row>
    <row r="26" spans="1:40">
      <c r="A26" s="575"/>
      <c r="B26" s="576"/>
      <c r="C26" s="2" t="s">
        <v>3</v>
      </c>
      <c r="D26" s="582" t="s">
        <v>30</v>
      </c>
      <c r="E26" s="583"/>
      <c r="F26" s="584"/>
      <c r="G26" s="582" t="s">
        <v>31</v>
      </c>
      <c r="H26" s="583"/>
      <c r="I26" s="585"/>
      <c r="K26" s="575"/>
      <c r="L26" s="576"/>
      <c r="M26" s="2" t="s">
        <v>3</v>
      </c>
      <c r="N26" s="582" t="s">
        <v>30</v>
      </c>
      <c r="O26" s="583"/>
      <c r="P26" s="584"/>
      <c r="Q26" s="582" t="s">
        <v>31</v>
      </c>
      <c r="R26" s="583"/>
      <c r="S26" s="585"/>
      <c r="U26" t="s">
        <v>35</v>
      </c>
      <c r="W26" t="s">
        <v>38</v>
      </c>
      <c r="Y26" t="s">
        <v>147</v>
      </c>
      <c r="Z26" t="s">
        <v>148</v>
      </c>
      <c r="AA26" s="32" t="s">
        <v>74</v>
      </c>
    </row>
    <row r="27" spans="1:40" ht="17.5" thickBot="1">
      <c r="A27" s="577"/>
      <c r="B27" s="578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7"/>
      <c r="L27" s="578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  <c r="Y27" t="s">
        <v>12</v>
      </c>
      <c r="Z27" t="s">
        <v>73</v>
      </c>
      <c r="AA27" s="75">
        <v>11477.778199999999</v>
      </c>
    </row>
    <row r="28" spans="1:40" ht="17.5" thickTop="1">
      <c r="A28" s="586" t="s">
        <v>12</v>
      </c>
      <c r="B28" s="587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586" t="s">
        <v>135</v>
      </c>
      <c r="L28" s="587"/>
      <c r="M28" s="6">
        <v>53</v>
      </c>
      <c r="N28" s="6">
        <f>AI10/2</f>
        <v>170</v>
      </c>
      <c r="O28" s="6">
        <f t="shared" ref="O28:S28" si="0">AJ10/2</f>
        <v>53</v>
      </c>
      <c r="P28" s="6">
        <f t="shared" si="0"/>
        <v>223</v>
      </c>
      <c r="Q28" s="6">
        <f t="shared" si="0"/>
        <v>170</v>
      </c>
      <c r="R28" s="6">
        <f t="shared" si="0"/>
        <v>53</v>
      </c>
      <c r="S28" s="7">
        <f t="shared" si="0"/>
        <v>223</v>
      </c>
      <c r="V28">
        <v>2029</v>
      </c>
      <c r="W28">
        <v>2.5499999999999998</v>
      </c>
      <c r="Y28" t="s">
        <v>13</v>
      </c>
      <c r="Z28" t="s">
        <v>75</v>
      </c>
      <c r="AA28" s="75">
        <v>907.24059999999997</v>
      </c>
    </row>
    <row r="29" spans="1:40">
      <c r="A29" s="588" t="s">
        <v>13</v>
      </c>
      <c r="B29" s="58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88" t="s">
        <v>136</v>
      </c>
      <c r="L29" s="589"/>
      <c r="M29" s="8">
        <v>15360</v>
      </c>
      <c r="N29" s="9">
        <f t="shared" ref="N29:S29" si="1">AI11/2</f>
        <v>138</v>
      </c>
      <c r="O29" s="8">
        <f t="shared" si="1"/>
        <v>896</v>
      </c>
      <c r="P29" s="8">
        <f t="shared" si="1"/>
        <v>1034</v>
      </c>
      <c r="Q29" s="9">
        <f t="shared" si="1"/>
        <v>135</v>
      </c>
      <c r="R29" s="8">
        <f t="shared" si="1"/>
        <v>896</v>
      </c>
      <c r="S29" s="11">
        <f t="shared" si="1"/>
        <v>1031</v>
      </c>
      <c r="U29" t="s">
        <v>37</v>
      </c>
      <c r="V29">
        <v>2025</v>
      </c>
      <c r="W29">
        <v>2</v>
      </c>
      <c r="Y29" t="s">
        <v>13</v>
      </c>
      <c r="Z29" t="s">
        <v>77</v>
      </c>
      <c r="AA29" s="75">
        <v>3134.9627</v>
      </c>
    </row>
    <row r="30" spans="1:40">
      <c r="A30" s="588" t="s">
        <v>14</v>
      </c>
      <c r="B30" s="58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88" t="s">
        <v>137</v>
      </c>
      <c r="L30" s="589"/>
      <c r="M30" s="8">
        <v>88536</v>
      </c>
      <c r="N30" s="8">
        <f t="shared" ref="N30:S30" si="2">AI12/2</f>
        <v>1028</v>
      </c>
      <c r="O30" s="8">
        <f t="shared" si="2"/>
        <v>5751</v>
      </c>
      <c r="P30" s="8">
        <f t="shared" si="2"/>
        <v>6779</v>
      </c>
      <c r="Q30" s="8">
        <f t="shared" si="2"/>
        <v>1011</v>
      </c>
      <c r="R30" s="8">
        <f t="shared" si="2"/>
        <v>5749</v>
      </c>
      <c r="S30" s="11">
        <f t="shared" si="2"/>
        <v>6760</v>
      </c>
      <c r="V30">
        <v>2029</v>
      </c>
      <c r="W30">
        <v>2</v>
      </c>
      <c r="Y30" t="s">
        <v>138</v>
      </c>
      <c r="Z30" t="s">
        <v>78</v>
      </c>
      <c r="AA30" s="75">
        <v>5454.9395000000004</v>
      </c>
    </row>
    <row r="31" spans="1:40">
      <c r="A31" s="588" t="s">
        <v>15</v>
      </c>
      <c r="B31" s="58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88" t="s">
        <v>139</v>
      </c>
      <c r="L31" s="589"/>
      <c r="M31" s="8">
        <v>835928</v>
      </c>
      <c r="N31" s="8">
        <f t="shared" ref="N31:S31" si="3">AI13/2</f>
        <v>29007</v>
      </c>
      <c r="O31" s="8">
        <f t="shared" si="3"/>
        <v>13118</v>
      </c>
      <c r="P31" s="8">
        <f t="shared" si="3"/>
        <v>42125</v>
      </c>
      <c r="Q31" s="8">
        <f t="shared" si="3"/>
        <v>28532</v>
      </c>
      <c r="R31" s="8">
        <f t="shared" si="3"/>
        <v>13113</v>
      </c>
      <c r="S31" s="11">
        <f t="shared" si="3"/>
        <v>41645</v>
      </c>
      <c r="Y31" t="s">
        <v>14</v>
      </c>
      <c r="Z31" t="s">
        <v>80</v>
      </c>
      <c r="AA31" s="75">
        <v>7192.9411</v>
      </c>
    </row>
    <row r="32" spans="1:40">
      <c r="A32" s="588" t="s">
        <v>16</v>
      </c>
      <c r="B32" s="58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88" t="s">
        <v>43</v>
      </c>
      <c r="L32" s="589"/>
      <c r="M32" s="8">
        <v>114912</v>
      </c>
      <c r="N32" s="8">
        <f t="shared" ref="N32:S32" si="4">AI14/2</f>
        <v>3144</v>
      </c>
      <c r="O32" s="8">
        <f t="shared" si="4"/>
        <v>578</v>
      </c>
      <c r="P32" s="8">
        <f t="shared" si="4"/>
        <v>3722</v>
      </c>
      <c r="Q32" s="8">
        <f t="shared" si="4"/>
        <v>3092</v>
      </c>
      <c r="R32" s="8">
        <f t="shared" si="4"/>
        <v>578</v>
      </c>
      <c r="S32" s="11">
        <f t="shared" si="4"/>
        <v>3670</v>
      </c>
      <c r="Y32" t="s">
        <v>140</v>
      </c>
      <c r="Z32" t="s">
        <v>85</v>
      </c>
      <c r="AA32" s="75">
        <v>24085.599100000003</v>
      </c>
    </row>
    <row r="33" spans="1:27">
      <c r="A33" s="588" t="s">
        <v>17</v>
      </c>
      <c r="B33" s="58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88" t="s">
        <v>141</v>
      </c>
      <c r="L33" s="589"/>
      <c r="M33" s="8">
        <v>265206</v>
      </c>
      <c r="N33" s="8">
        <f t="shared" ref="N33:S33" si="5">AI15/2</f>
        <v>2684</v>
      </c>
      <c r="O33" s="8">
        <f t="shared" si="5"/>
        <v>690</v>
      </c>
      <c r="P33" s="8">
        <f t="shared" si="5"/>
        <v>3374</v>
      </c>
      <c r="Q33" s="8">
        <f t="shared" si="5"/>
        <v>2640</v>
      </c>
      <c r="R33" s="8">
        <f t="shared" si="5"/>
        <v>690</v>
      </c>
      <c r="S33" s="11">
        <f t="shared" si="5"/>
        <v>3330</v>
      </c>
      <c r="Y33" t="s">
        <v>15</v>
      </c>
      <c r="Z33" t="s">
        <v>86</v>
      </c>
      <c r="AA33" s="75">
        <v>10713.892900000001</v>
      </c>
    </row>
    <row r="34" spans="1:27">
      <c r="A34" s="12" t="s">
        <v>18</v>
      </c>
      <c r="B34" s="15" t="s">
        <v>21</v>
      </c>
      <c r="C34" s="8">
        <v>195776</v>
      </c>
      <c r="D34" s="8">
        <v>2659</v>
      </c>
      <c r="E34" s="8">
        <v>9370</v>
      </c>
      <c r="F34" s="8">
        <v>12029</v>
      </c>
      <c r="G34" s="8">
        <v>2659</v>
      </c>
      <c r="H34" s="8">
        <v>9366</v>
      </c>
      <c r="I34" s="11">
        <v>12025</v>
      </c>
      <c r="J34" s="33" t="s">
        <v>120</v>
      </c>
      <c r="K34" s="12" t="s">
        <v>142</v>
      </c>
      <c r="L34" s="15" t="s">
        <v>21</v>
      </c>
      <c r="M34" s="8">
        <v>195776</v>
      </c>
      <c r="N34" s="8">
        <f t="shared" ref="N34:S34" si="6">AI16/2</f>
        <v>3446</v>
      </c>
      <c r="O34" s="8">
        <f t="shared" si="6"/>
        <v>9370</v>
      </c>
      <c r="P34" s="8">
        <f t="shared" si="6"/>
        <v>12816</v>
      </c>
      <c r="Q34" s="8">
        <f t="shared" si="6"/>
        <v>3390</v>
      </c>
      <c r="R34" s="8">
        <f t="shared" si="6"/>
        <v>9366</v>
      </c>
      <c r="S34" s="11">
        <f t="shared" si="6"/>
        <v>12756</v>
      </c>
      <c r="Y34" t="s">
        <v>15</v>
      </c>
      <c r="Z34" t="s">
        <v>87</v>
      </c>
      <c r="AA34" s="75">
        <v>10028.5581</v>
      </c>
    </row>
    <row r="35" spans="1:27">
      <c r="A35" s="13" t="s">
        <v>19</v>
      </c>
      <c r="B35" s="15" t="s">
        <v>14</v>
      </c>
      <c r="C35" s="8">
        <v>68522</v>
      </c>
      <c r="D35" s="9">
        <v>614</v>
      </c>
      <c r="E35" s="8">
        <v>4451</v>
      </c>
      <c r="F35" s="8">
        <v>5065</v>
      </c>
      <c r="G35" s="9">
        <v>614</v>
      </c>
      <c r="H35" s="8">
        <v>4449</v>
      </c>
      <c r="I35" s="11">
        <v>5063</v>
      </c>
      <c r="J35" s="33"/>
      <c r="K35" s="13" t="s">
        <v>19</v>
      </c>
      <c r="L35" s="15" t="s">
        <v>14</v>
      </c>
      <c r="M35" s="8">
        <v>68522</v>
      </c>
      <c r="N35" s="8">
        <f t="shared" ref="N35:S35" si="7">AI17/2</f>
        <v>796</v>
      </c>
      <c r="O35" s="8">
        <f t="shared" si="7"/>
        <v>4451</v>
      </c>
      <c r="P35" s="8">
        <f t="shared" si="7"/>
        <v>5247</v>
      </c>
      <c r="Q35" s="8">
        <f t="shared" si="7"/>
        <v>783</v>
      </c>
      <c r="R35" s="8">
        <f t="shared" si="7"/>
        <v>4449</v>
      </c>
      <c r="S35" s="11">
        <f t="shared" si="7"/>
        <v>5232</v>
      </c>
      <c r="Y35" t="s">
        <v>15</v>
      </c>
      <c r="Z35" t="s">
        <v>88</v>
      </c>
      <c r="AA35" s="75">
        <v>21685.084499999997</v>
      </c>
    </row>
    <row r="36" spans="1:27" ht="25">
      <c r="A36" s="13" t="s">
        <v>20</v>
      </c>
      <c r="B36" s="15" t="s">
        <v>13</v>
      </c>
      <c r="C36" s="8">
        <v>68522</v>
      </c>
      <c r="D36" s="9">
        <v>472</v>
      </c>
      <c r="E36" s="8">
        <v>3997</v>
      </c>
      <c r="F36" s="8">
        <v>4469</v>
      </c>
      <c r="G36" s="9">
        <v>472</v>
      </c>
      <c r="H36" s="8">
        <v>3995</v>
      </c>
      <c r="I36" s="11">
        <v>4467</v>
      </c>
      <c r="J36" s="33"/>
      <c r="K36" s="13" t="s">
        <v>20</v>
      </c>
      <c r="L36" s="15" t="s">
        <v>13</v>
      </c>
      <c r="M36" s="8">
        <v>68522</v>
      </c>
      <c r="N36" s="8">
        <f t="shared" ref="N36:S36" si="8">AI18/2</f>
        <v>612</v>
      </c>
      <c r="O36" s="8">
        <f t="shared" si="8"/>
        <v>3997</v>
      </c>
      <c r="P36" s="8">
        <f t="shared" si="8"/>
        <v>4609</v>
      </c>
      <c r="Q36" s="8">
        <f t="shared" si="8"/>
        <v>602</v>
      </c>
      <c r="R36" s="8">
        <f t="shared" si="8"/>
        <v>3995</v>
      </c>
      <c r="S36" s="11">
        <f t="shared" si="8"/>
        <v>4597</v>
      </c>
      <c r="Y36" t="s">
        <v>15</v>
      </c>
      <c r="Z36" t="s">
        <v>83</v>
      </c>
      <c r="AA36" s="75">
        <v>10018.5584</v>
      </c>
    </row>
    <row r="37" spans="1:27">
      <c r="A37" s="14"/>
      <c r="B37" s="15" t="s">
        <v>23</v>
      </c>
      <c r="C37" s="8">
        <v>58733</v>
      </c>
      <c r="D37" s="8">
        <v>1573</v>
      </c>
      <c r="E37" s="9">
        <v>922</v>
      </c>
      <c r="F37" s="8">
        <v>2495</v>
      </c>
      <c r="G37" s="8">
        <v>1573</v>
      </c>
      <c r="H37" s="9">
        <v>922</v>
      </c>
      <c r="I37" s="11">
        <v>2495</v>
      </c>
      <c r="J37" s="33"/>
      <c r="K37" s="14"/>
      <c r="L37" s="15" t="s">
        <v>23</v>
      </c>
      <c r="M37" s="8">
        <v>58733</v>
      </c>
      <c r="N37" s="8">
        <f t="shared" ref="N37:S37" si="9">AI19/2</f>
        <v>2038</v>
      </c>
      <c r="O37" s="8">
        <f t="shared" si="9"/>
        <v>922</v>
      </c>
      <c r="P37" s="8">
        <f t="shared" si="9"/>
        <v>2960</v>
      </c>
      <c r="Q37" s="8">
        <f t="shared" si="9"/>
        <v>2005</v>
      </c>
      <c r="R37" s="8">
        <f t="shared" si="9"/>
        <v>922</v>
      </c>
      <c r="S37" s="11">
        <f t="shared" si="9"/>
        <v>2927</v>
      </c>
      <c r="Y37" t="s">
        <v>15</v>
      </c>
      <c r="Z37" t="s">
        <v>84</v>
      </c>
      <c r="AA37" s="75">
        <v>5030.8546999999999</v>
      </c>
    </row>
    <row r="38" spans="1:27">
      <c r="A38" s="588" t="s">
        <v>24</v>
      </c>
      <c r="B38" s="589"/>
      <c r="C38" s="8">
        <v>76980</v>
      </c>
      <c r="D38" s="9">
        <v>842</v>
      </c>
      <c r="E38" s="8">
        <v>2864</v>
      </c>
      <c r="F38" s="8">
        <v>3706</v>
      </c>
      <c r="G38" s="9">
        <v>842</v>
      </c>
      <c r="H38" s="8">
        <v>2863</v>
      </c>
      <c r="I38" s="11">
        <v>3705</v>
      </c>
      <c r="J38" s="33" t="s">
        <v>124</v>
      </c>
      <c r="K38" s="588" t="s">
        <v>144</v>
      </c>
      <c r="L38" s="589"/>
      <c r="M38" s="8">
        <v>76980</v>
      </c>
      <c r="N38" s="8">
        <f t="shared" ref="N38:S38" si="10">AI20/2</f>
        <v>1091</v>
      </c>
      <c r="O38" s="8">
        <f t="shared" si="10"/>
        <v>2864</v>
      </c>
      <c r="P38" s="8">
        <f t="shared" si="10"/>
        <v>3955</v>
      </c>
      <c r="Q38" s="8">
        <f t="shared" si="10"/>
        <v>1073</v>
      </c>
      <c r="R38" s="8">
        <f t="shared" si="10"/>
        <v>2863</v>
      </c>
      <c r="S38" s="11">
        <f t="shared" si="10"/>
        <v>3936</v>
      </c>
      <c r="Y38" t="s">
        <v>15</v>
      </c>
      <c r="Z38" t="s">
        <v>89</v>
      </c>
      <c r="AA38" s="75">
        <v>6744.6391999999996</v>
      </c>
    </row>
    <row r="39" spans="1:27">
      <c r="A39" s="588" t="s">
        <v>25</v>
      </c>
      <c r="B39" s="589"/>
      <c r="C39" s="8">
        <v>11571</v>
      </c>
      <c r="D39" s="9">
        <v>265</v>
      </c>
      <c r="E39" s="8">
        <v>2250</v>
      </c>
      <c r="F39" s="8">
        <v>2515</v>
      </c>
      <c r="G39" s="9">
        <v>265</v>
      </c>
      <c r="H39" s="8">
        <v>2249</v>
      </c>
      <c r="I39" s="11">
        <v>2514</v>
      </c>
      <c r="J39" s="33" t="s">
        <v>129</v>
      </c>
      <c r="K39" s="588" t="s">
        <v>145</v>
      </c>
      <c r="L39" s="589"/>
      <c r="M39" s="8">
        <v>11571</v>
      </c>
      <c r="N39" s="9">
        <f t="shared" ref="N39:S39" si="11">AI21/2</f>
        <v>344</v>
      </c>
      <c r="O39" s="8">
        <f t="shared" si="11"/>
        <v>2250</v>
      </c>
      <c r="P39" s="8">
        <f t="shared" si="11"/>
        <v>2594</v>
      </c>
      <c r="Q39" s="9">
        <f t="shared" si="11"/>
        <v>338</v>
      </c>
      <c r="R39" s="8">
        <f t="shared" si="11"/>
        <v>2249</v>
      </c>
      <c r="S39" s="11">
        <f t="shared" si="11"/>
        <v>2587</v>
      </c>
      <c r="Y39" t="s">
        <v>15</v>
      </c>
      <c r="Z39" t="s">
        <v>90</v>
      </c>
      <c r="AA39" s="75">
        <v>9730.2787000000008</v>
      </c>
    </row>
    <row r="40" spans="1:27" ht="17.5" thickBot="1">
      <c r="A40" s="604" t="s">
        <v>26</v>
      </c>
      <c r="B40" s="605"/>
      <c r="C40" s="16" t="s">
        <v>22</v>
      </c>
      <c r="D40" s="17">
        <v>31679</v>
      </c>
      <c r="E40" s="17">
        <v>35570</v>
      </c>
      <c r="F40" s="17">
        <v>67249</v>
      </c>
      <c r="G40" s="17">
        <v>31679</v>
      </c>
      <c r="H40" s="17">
        <v>35557</v>
      </c>
      <c r="I40" s="18">
        <v>67236</v>
      </c>
      <c r="K40" s="604" t="s">
        <v>26</v>
      </c>
      <c r="L40" s="605"/>
      <c r="M40" s="16" t="s">
        <v>22</v>
      </c>
      <c r="N40" s="17">
        <f t="shared" ref="N40:S40" si="12">AI22/2</f>
        <v>41052</v>
      </c>
      <c r="O40" s="17">
        <f t="shared" si="12"/>
        <v>35570</v>
      </c>
      <c r="P40" s="17">
        <f t="shared" si="12"/>
        <v>76622</v>
      </c>
      <c r="Q40" s="17">
        <f t="shared" si="12"/>
        <v>40381</v>
      </c>
      <c r="R40" s="17">
        <f t="shared" si="12"/>
        <v>35557</v>
      </c>
      <c r="S40" s="18">
        <f t="shared" si="12"/>
        <v>75938</v>
      </c>
      <c r="Y40" t="s">
        <v>15</v>
      </c>
      <c r="Z40" t="s">
        <v>91</v>
      </c>
      <c r="AA40" s="75">
        <v>11598.4503</v>
      </c>
    </row>
    <row r="41" spans="1:27" ht="17.5" thickTop="1">
      <c r="A41" s="19"/>
      <c r="B41" s="19"/>
      <c r="C41" s="20"/>
      <c r="D41" s="21"/>
      <c r="E41" s="21"/>
      <c r="F41" s="21"/>
      <c r="G41" s="21"/>
      <c r="H41" s="21"/>
      <c r="I41" s="21"/>
      <c r="K41" s="19"/>
      <c r="L41" s="19"/>
      <c r="M41" s="20"/>
      <c r="N41" s="21"/>
      <c r="O41" s="21"/>
      <c r="P41" s="21"/>
      <c r="Q41" s="21"/>
      <c r="R41" s="21"/>
      <c r="S41" s="21"/>
      <c r="Y41" t="s">
        <v>15</v>
      </c>
      <c r="Z41" t="s">
        <v>92</v>
      </c>
      <c r="AA41" s="75">
        <v>20670.0766</v>
      </c>
    </row>
    <row r="42" spans="1:27" ht="23">
      <c r="A42" s="32"/>
      <c r="B42" s="99" t="s">
        <v>272</v>
      </c>
      <c r="I42" t="s">
        <v>245</v>
      </c>
      <c r="L42" s="99" t="s">
        <v>278</v>
      </c>
      <c r="S42" t="s">
        <v>245</v>
      </c>
      <c r="Y42" t="s">
        <v>15</v>
      </c>
      <c r="Z42" t="s">
        <v>93</v>
      </c>
      <c r="AA42" s="75">
        <v>6590.8657999999996</v>
      </c>
    </row>
    <row r="43" spans="1:27">
      <c r="B43" s="620" t="s">
        <v>268</v>
      </c>
      <c r="C43" s="620"/>
      <c r="D43" s="100"/>
      <c r="E43" s="100" t="s">
        <v>261</v>
      </c>
      <c r="F43" s="100" t="s">
        <v>262</v>
      </c>
      <c r="G43" s="100" t="s">
        <v>263</v>
      </c>
      <c r="H43" s="100" t="s">
        <v>264</v>
      </c>
      <c r="I43" s="100" t="s">
        <v>265</v>
      </c>
      <c r="J43" s="100"/>
      <c r="L43" s="620" t="s">
        <v>271</v>
      </c>
      <c r="M43" s="620"/>
      <c r="N43" s="100"/>
      <c r="O43" s="100" t="s">
        <v>261</v>
      </c>
      <c r="P43" s="100" t="s">
        <v>262</v>
      </c>
      <c r="Q43" s="100" t="s">
        <v>263</v>
      </c>
      <c r="R43" s="100" t="s">
        <v>264</v>
      </c>
      <c r="S43" s="100" t="s">
        <v>265</v>
      </c>
      <c r="T43" s="100"/>
      <c r="Y43" t="s">
        <v>15</v>
      </c>
      <c r="Z43" t="s">
        <v>94</v>
      </c>
      <c r="AA43" s="75">
        <v>3970.3760000000002</v>
      </c>
    </row>
    <row r="44" spans="1:27">
      <c r="B44" s="619" t="s">
        <v>135</v>
      </c>
      <c r="C44" s="619"/>
      <c r="D44" s="98"/>
      <c r="E44" s="622" t="s">
        <v>273</v>
      </c>
      <c r="F44" s="623"/>
      <c r="G44" s="623"/>
      <c r="H44" s="623"/>
      <c r="I44" s="624"/>
      <c r="J44" s="98"/>
      <c r="L44" s="619" t="s">
        <v>135</v>
      </c>
      <c r="M44" s="619"/>
      <c r="N44" s="98"/>
      <c r="O44" s="622" t="s">
        <v>273</v>
      </c>
      <c r="P44" s="623"/>
      <c r="Q44" s="623"/>
      <c r="R44" s="624"/>
      <c r="S44" s="98"/>
      <c r="T44" s="98"/>
      <c r="Y44" t="s">
        <v>15</v>
      </c>
      <c r="Z44" t="s">
        <v>95</v>
      </c>
      <c r="AA44" s="75">
        <v>14487.1335</v>
      </c>
    </row>
    <row r="45" spans="1:27" ht="16.5" customHeight="1">
      <c r="B45" s="619"/>
      <c r="C45" s="619"/>
      <c r="D45" s="98"/>
      <c r="E45" s="625"/>
      <c r="F45" s="626"/>
      <c r="G45" s="626"/>
      <c r="H45" s="626"/>
      <c r="I45" s="627"/>
      <c r="J45" s="98"/>
      <c r="L45" s="619"/>
      <c r="M45" s="619"/>
      <c r="N45" s="98"/>
      <c r="O45" s="625"/>
      <c r="P45" s="626"/>
      <c r="Q45" s="626"/>
      <c r="R45" s="627"/>
      <c r="S45" s="98"/>
      <c r="T45" s="98"/>
      <c r="Y45" t="s">
        <v>15</v>
      </c>
      <c r="Z45" t="s">
        <v>96</v>
      </c>
      <c r="AA45" s="75">
        <v>7440.5132000000003</v>
      </c>
    </row>
    <row r="46" spans="1:27" ht="16.5" customHeight="1">
      <c r="B46" s="619" t="s">
        <v>136</v>
      </c>
      <c r="C46" s="619"/>
      <c r="D46" s="98" t="s">
        <v>266</v>
      </c>
      <c r="E46" s="101">
        <f>$N$29*U11</f>
        <v>36.155999999999999</v>
      </c>
      <c r="F46" s="101">
        <f t="shared" ref="F46:H46" si="13">$N$29*V11</f>
        <v>10.35</v>
      </c>
      <c r="G46" s="101">
        <f t="shared" si="13"/>
        <v>82.524000000000001</v>
      </c>
      <c r="H46" s="101">
        <f t="shared" si="13"/>
        <v>8.9700000000000006</v>
      </c>
      <c r="I46" s="101">
        <f>SUM(E46:H46)</f>
        <v>138</v>
      </c>
      <c r="J46" s="98" t="b">
        <f>I46=N29</f>
        <v>1</v>
      </c>
      <c r="L46" s="619" t="s">
        <v>136</v>
      </c>
      <c r="M46" s="619"/>
      <c r="N46" s="98" t="s">
        <v>266</v>
      </c>
      <c r="O46" s="101">
        <f>$Q$29*U11</f>
        <v>35.370000000000005</v>
      </c>
      <c r="P46" s="101">
        <f t="shared" ref="P46:R46" si="14">$Q$29*V11</f>
        <v>10.125</v>
      </c>
      <c r="Q46" s="101">
        <f t="shared" si="14"/>
        <v>80.72999999999999</v>
      </c>
      <c r="R46" s="101">
        <f t="shared" si="14"/>
        <v>8.7750000000000004</v>
      </c>
      <c r="S46" s="101">
        <f>SUM(O46:R46)</f>
        <v>135</v>
      </c>
      <c r="T46" s="98" t="b">
        <f>S46=Q29</f>
        <v>1</v>
      </c>
      <c r="Y46" t="s">
        <v>15</v>
      </c>
      <c r="Z46" t="s">
        <v>97</v>
      </c>
      <c r="AA46" s="75">
        <v>20150.029900000001</v>
      </c>
    </row>
    <row r="47" spans="1:27" ht="27" customHeight="1">
      <c r="B47" s="619"/>
      <c r="C47" s="619"/>
      <c r="D47" s="98" t="s">
        <v>267</v>
      </c>
      <c r="E47" s="101">
        <f>$O$29*U12</f>
        <v>198.01599999999999</v>
      </c>
      <c r="F47" s="101">
        <f t="shared" ref="F47:H47" si="15">$O$29*V12</f>
        <v>68.992000000000004</v>
      </c>
      <c r="G47" s="101">
        <f t="shared" si="15"/>
        <v>567.16800000000001</v>
      </c>
      <c r="H47" s="101">
        <f t="shared" si="15"/>
        <v>61.824000000000005</v>
      </c>
      <c r="I47" s="101">
        <f>SUM(E47:H47)</f>
        <v>895.99999999999989</v>
      </c>
      <c r="J47" s="98" t="b">
        <f>I47=O29</f>
        <v>1</v>
      </c>
      <c r="L47" s="619"/>
      <c r="M47" s="619"/>
      <c r="N47" s="98" t="s">
        <v>267</v>
      </c>
      <c r="O47" s="101">
        <f>$R$29*U12</f>
        <v>198.01599999999999</v>
      </c>
      <c r="P47" s="101">
        <f t="shared" ref="P47:R47" si="16">$R$29*V12</f>
        <v>68.992000000000004</v>
      </c>
      <c r="Q47" s="101">
        <f t="shared" si="16"/>
        <v>567.16800000000001</v>
      </c>
      <c r="R47" s="101">
        <f t="shared" si="16"/>
        <v>61.824000000000005</v>
      </c>
      <c r="S47" s="101">
        <f>SUM(O47:R47)</f>
        <v>895.99999999999989</v>
      </c>
      <c r="T47" s="98" t="b">
        <f>S47=R29</f>
        <v>1</v>
      </c>
      <c r="Y47" t="s">
        <v>15</v>
      </c>
      <c r="Z47" t="s">
        <v>98</v>
      </c>
      <c r="AA47" s="75">
        <v>8631.4781000000003</v>
      </c>
    </row>
    <row r="48" spans="1:27" ht="27" customHeight="1">
      <c r="B48" s="619" t="s">
        <v>137</v>
      </c>
      <c r="C48" s="619"/>
      <c r="D48" s="98" t="s">
        <v>266</v>
      </c>
      <c r="E48" s="101">
        <f>$N$30*U15</f>
        <v>312.512</v>
      </c>
      <c r="F48" s="101">
        <f t="shared" ref="F48:H48" si="17">$N$30*V15</f>
        <v>74.015999999999991</v>
      </c>
      <c r="G48" s="101">
        <f t="shared" si="17"/>
        <v>425.59199999999998</v>
      </c>
      <c r="H48" s="101">
        <f t="shared" si="17"/>
        <v>215.88</v>
      </c>
      <c r="I48" s="101">
        <f t="shared" ref="I48:I55" si="18">SUM(E48:H48)</f>
        <v>1028</v>
      </c>
      <c r="J48" s="98" t="b">
        <f>I48=N30</f>
        <v>1</v>
      </c>
      <c r="L48" s="619" t="s">
        <v>137</v>
      </c>
      <c r="M48" s="619"/>
      <c r="N48" s="98" t="s">
        <v>266</v>
      </c>
      <c r="O48" s="101">
        <f>$Q$30*U15</f>
        <v>307.34399999999999</v>
      </c>
      <c r="P48" s="101">
        <f t="shared" ref="P48:R48" si="19">$Q$30*V15</f>
        <v>72.792000000000002</v>
      </c>
      <c r="Q48" s="101">
        <f t="shared" si="19"/>
        <v>418.55399999999997</v>
      </c>
      <c r="R48" s="101">
        <f t="shared" si="19"/>
        <v>212.31</v>
      </c>
      <c r="S48" s="101">
        <f t="shared" ref="S48:S55" si="20">SUM(O48:R48)</f>
        <v>1011</v>
      </c>
      <c r="T48" s="98" t="b">
        <f>S48=Q30</f>
        <v>1</v>
      </c>
      <c r="Y48" t="s">
        <v>15</v>
      </c>
      <c r="Z48" t="s">
        <v>99</v>
      </c>
      <c r="AA48" s="75">
        <v>11977.777099999999</v>
      </c>
    </row>
    <row r="49" spans="2:27" ht="27" customHeight="1">
      <c r="B49" s="619"/>
      <c r="C49" s="619"/>
      <c r="D49" s="98" t="s">
        <v>267</v>
      </c>
      <c r="E49" s="101">
        <f>$O$30*U16</f>
        <v>1777.059</v>
      </c>
      <c r="F49" s="101">
        <f t="shared" ref="F49:H49" si="21">$O$30*V16</f>
        <v>437.07599999999996</v>
      </c>
      <c r="G49" s="101">
        <f t="shared" si="21"/>
        <v>2133.6210000000001</v>
      </c>
      <c r="H49" s="101">
        <f t="shared" si="21"/>
        <v>1403.2439999999999</v>
      </c>
      <c r="I49" s="101">
        <f t="shared" si="18"/>
        <v>5750.9999999999991</v>
      </c>
      <c r="J49" s="98" t="b">
        <f>I49=O30</f>
        <v>1</v>
      </c>
      <c r="L49" s="619"/>
      <c r="M49" s="619"/>
      <c r="N49" s="98" t="s">
        <v>267</v>
      </c>
      <c r="O49" s="101">
        <f>$R$30*U16</f>
        <v>1776.441</v>
      </c>
      <c r="P49" s="101">
        <f t="shared" ref="P49:R49" si="22">$R$30*V16</f>
        <v>436.92399999999998</v>
      </c>
      <c r="Q49" s="101">
        <f t="shared" si="22"/>
        <v>2132.8789999999999</v>
      </c>
      <c r="R49" s="101">
        <f t="shared" si="22"/>
        <v>1402.7559999999999</v>
      </c>
      <c r="S49" s="101">
        <f t="shared" si="20"/>
        <v>5749</v>
      </c>
      <c r="T49" s="98" t="b">
        <f>S49=R30</f>
        <v>1</v>
      </c>
      <c r="Y49" t="s">
        <v>15</v>
      </c>
      <c r="Z49" t="s">
        <v>100</v>
      </c>
      <c r="AA49" s="75">
        <v>5754.1068999999998</v>
      </c>
    </row>
    <row r="50" spans="2:27" ht="27" customHeight="1">
      <c r="B50" s="619" t="s">
        <v>139</v>
      </c>
      <c r="C50" s="619"/>
      <c r="D50" s="98" t="s">
        <v>266</v>
      </c>
      <c r="E50" s="101">
        <f>$N$31*U13</f>
        <v>11167.695</v>
      </c>
      <c r="F50" s="101">
        <f t="shared" ref="F50:H50" si="23">$N$31*V13</f>
        <v>1479.357</v>
      </c>
      <c r="G50" s="101">
        <f t="shared" si="23"/>
        <v>10094.436</v>
      </c>
      <c r="H50" s="101">
        <f t="shared" si="23"/>
        <v>6265.5119999999997</v>
      </c>
      <c r="I50" s="101">
        <f t="shared" si="18"/>
        <v>29006.999999999996</v>
      </c>
      <c r="J50" s="98" t="b">
        <f>I50=N31</f>
        <v>1</v>
      </c>
      <c r="L50" s="619" t="s">
        <v>139</v>
      </c>
      <c r="M50" s="619"/>
      <c r="N50" s="98" t="s">
        <v>266</v>
      </c>
      <c r="O50" s="101">
        <f>$Q$31*U13</f>
        <v>10984.82</v>
      </c>
      <c r="P50" s="101">
        <f t="shared" ref="P50:R50" si="24">$Q$31*V13</f>
        <v>1455.1319999999998</v>
      </c>
      <c r="Q50" s="101">
        <f t="shared" si="24"/>
        <v>9929.1359999999986</v>
      </c>
      <c r="R50" s="101">
        <f t="shared" si="24"/>
        <v>6162.9120000000003</v>
      </c>
      <c r="S50" s="101">
        <f t="shared" si="20"/>
        <v>28531.999999999996</v>
      </c>
      <c r="T50" s="98" t="b">
        <f>S50=Q31</f>
        <v>1</v>
      </c>
      <c r="Y50" t="s">
        <v>15</v>
      </c>
      <c r="Z50" t="s">
        <v>101</v>
      </c>
      <c r="AA50" s="75">
        <v>6005.2467999999999</v>
      </c>
    </row>
    <row r="51" spans="2:27" ht="27" customHeight="1">
      <c r="B51" s="619"/>
      <c r="C51" s="619"/>
      <c r="D51" s="98" t="s">
        <v>267</v>
      </c>
      <c r="E51" s="101">
        <f>$O$31*U14</f>
        <v>5234.0820000000003</v>
      </c>
      <c r="F51" s="101">
        <f t="shared" ref="F51:H51" si="25">$O$31*V14</f>
        <v>813.31600000000003</v>
      </c>
      <c r="G51" s="101">
        <f t="shared" si="25"/>
        <v>3213.91</v>
      </c>
      <c r="H51" s="101">
        <f t="shared" si="25"/>
        <v>3856.692</v>
      </c>
      <c r="I51" s="101">
        <f t="shared" si="18"/>
        <v>13118</v>
      </c>
      <c r="J51" s="98" t="b">
        <f>I51=O31</f>
        <v>1</v>
      </c>
      <c r="L51" s="619"/>
      <c r="M51" s="619"/>
      <c r="N51" s="98" t="s">
        <v>267</v>
      </c>
      <c r="O51" s="101">
        <f>$R$31*U14</f>
        <v>5232.0870000000004</v>
      </c>
      <c r="P51" s="101">
        <f t="shared" ref="P51:R51" si="26">$R$31*V14</f>
        <v>813.00599999999997</v>
      </c>
      <c r="Q51" s="101">
        <f t="shared" si="26"/>
        <v>3212.6849999999999</v>
      </c>
      <c r="R51" s="101">
        <f t="shared" si="26"/>
        <v>3855.2219999999998</v>
      </c>
      <c r="S51" s="101">
        <f t="shared" si="20"/>
        <v>13113</v>
      </c>
      <c r="T51" s="98" t="b">
        <f>S51=R31</f>
        <v>1</v>
      </c>
      <c r="Y51" t="s">
        <v>16</v>
      </c>
      <c r="Z51" t="s">
        <v>113</v>
      </c>
      <c r="AA51" s="75">
        <v>10596.0813</v>
      </c>
    </row>
    <row r="52" spans="2:27" ht="27" customHeight="1">
      <c r="B52" s="619" t="s">
        <v>43</v>
      </c>
      <c r="C52" s="619"/>
      <c r="D52" s="98" t="s">
        <v>266</v>
      </c>
      <c r="E52" s="101">
        <f>$N$32*U13</f>
        <v>1210.44</v>
      </c>
      <c r="F52" s="101">
        <f t="shared" ref="F52:H52" si="27">$N$32*V13</f>
        <v>160.34399999999999</v>
      </c>
      <c r="G52" s="101">
        <f t="shared" si="27"/>
        <v>1094.1119999999999</v>
      </c>
      <c r="H52" s="101">
        <f t="shared" si="27"/>
        <v>679.10400000000004</v>
      </c>
      <c r="I52" s="101">
        <f t="shared" si="18"/>
        <v>3144</v>
      </c>
      <c r="J52" s="98" t="b">
        <f>I52=N32</f>
        <v>1</v>
      </c>
      <c r="L52" s="619" t="s">
        <v>43</v>
      </c>
      <c r="M52" s="619"/>
      <c r="N52" s="98" t="s">
        <v>266</v>
      </c>
      <c r="O52" s="101">
        <f>$Q$32*U13</f>
        <v>1190.42</v>
      </c>
      <c r="P52" s="101">
        <f t="shared" ref="P52:R52" si="28">$Q$32*V13</f>
        <v>157.69199999999998</v>
      </c>
      <c r="Q52" s="101">
        <f t="shared" si="28"/>
        <v>1076.0159999999998</v>
      </c>
      <c r="R52" s="101">
        <f t="shared" si="28"/>
        <v>667.87199999999996</v>
      </c>
      <c r="S52" s="101">
        <f t="shared" si="20"/>
        <v>3091.9999999999995</v>
      </c>
      <c r="T52" s="98" t="b">
        <f>S52=Q32</f>
        <v>1</v>
      </c>
      <c r="Y52" t="s">
        <v>16</v>
      </c>
      <c r="Z52" t="s">
        <v>114</v>
      </c>
      <c r="AA52" s="75">
        <v>10127.7948</v>
      </c>
    </row>
    <row r="53" spans="2:27" ht="27" customHeight="1">
      <c r="B53" s="619"/>
      <c r="C53" s="619"/>
      <c r="D53" s="98" t="s">
        <v>267</v>
      </c>
      <c r="E53" s="101">
        <f>$O$32*U14</f>
        <v>230.62200000000001</v>
      </c>
      <c r="F53" s="101">
        <f t="shared" ref="F53:H53" si="29">$O$32*V14</f>
        <v>35.835999999999999</v>
      </c>
      <c r="G53" s="101">
        <f t="shared" si="29"/>
        <v>141.60999999999999</v>
      </c>
      <c r="H53" s="101">
        <f t="shared" si="29"/>
        <v>169.93199999999999</v>
      </c>
      <c r="I53" s="101">
        <f t="shared" si="18"/>
        <v>578</v>
      </c>
      <c r="J53" s="98" t="b">
        <f>I53=O32</f>
        <v>1</v>
      </c>
      <c r="L53" s="619"/>
      <c r="M53" s="619"/>
      <c r="N53" s="98" t="s">
        <v>267</v>
      </c>
      <c r="O53" s="101">
        <f>$R$32*U14</f>
        <v>230.62200000000001</v>
      </c>
      <c r="P53" s="101">
        <f t="shared" ref="P53:R53" si="30">$R$32*V14</f>
        <v>35.835999999999999</v>
      </c>
      <c r="Q53" s="101">
        <f t="shared" si="30"/>
        <v>141.60999999999999</v>
      </c>
      <c r="R53" s="101">
        <f t="shared" si="30"/>
        <v>169.93199999999999</v>
      </c>
      <c r="S53" s="101">
        <f t="shared" si="20"/>
        <v>578</v>
      </c>
      <c r="T53" s="98" t="b">
        <f>S53=R32</f>
        <v>1</v>
      </c>
      <c r="Y53" t="s">
        <v>16</v>
      </c>
      <c r="Z53" t="s">
        <v>115</v>
      </c>
      <c r="AA53" s="75">
        <v>8987.5704000000005</v>
      </c>
    </row>
    <row r="54" spans="2:27" ht="16.5" customHeight="1">
      <c r="B54" s="619" t="s">
        <v>141</v>
      </c>
      <c r="C54" s="619"/>
      <c r="D54" s="98" t="s">
        <v>266</v>
      </c>
      <c r="E54" s="101">
        <f>$N$33*U13</f>
        <v>1033.3399999999999</v>
      </c>
      <c r="F54" s="101">
        <f t="shared" ref="F54:H54" si="31">$N$33*V13</f>
        <v>136.88399999999999</v>
      </c>
      <c r="G54" s="101">
        <f t="shared" si="31"/>
        <v>934.03199999999993</v>
      </c>
      <c r="H54" s="101">
        <f t="shared" si="31"/>
        <v>579.74400000000003</v>
      </c>
      <c r="I54" s="101">
        <f t="shared" si="18"/>
        <v>2684</v>
      </c>
      <c r="J54" s="98" t="b">
        <f>I54=N33</f>
        <v>1</v>
      </c>
      <c r="L54" s="619" t="s">
        <v>141</v>
      </c>
      <c r="M54" s="619"/>
      <c r="N54" s="98" t="s">
        <v>266</v>
      </c>
      <c r="O54" s="101">
        <f>$Q$33*U13</f>
        <v>1016.4</v>
      </c>
      <c r="P54" s="101">
        <f t="shared" ref="P54:R54" si="32">$Q$33*V13</f>
        <v>134.63999999999999</v>
      </c>
      <c r="Q54" s="101">
        <f t="shared" si="32"/>
        <v>918.71999999999991</v>
      </c>
      <c r="R54" s="101">
        <f t="shared" si="32"/>
        <v>570.24</v>
      </c>
      <c r="S54" s="101">
        <f t="shared" si="20"/>
        <v>2640</v>
      </c>
      <c r="T54" s="98" t="b">
        <f>S54=Q33</f>
        <v>1</v>
      </c>
      <c r="Y54" t="s">
        <v>141</v>
      </c>
      <c r="Z54" t="s">
        <v>116</v>
      </c>
      <c r="AA54" s="75">
        <v>2607.4872</v>
      </c>
    </row>
    <row r="55" spans="2:27" ht="16.5" customHeight="1">
      <c r="B55" s="619"/>
      <c r="C55" s="619"/>
      <c r="D55" s="98" t="s">
        <v>267</v>
      </c>
      <c r="E55" s="101">
        <f>$O$33*U14</f>
        <v>275.31</v>
      </c>
      <c r="F55" s="101">
        <f t="shared" ref="F55:H55" si="33">$O$33*V14</f>
        <v>42.78</v>
      </c>
      <c r="G55" s="101">
        <f t="shared" si="33"/>
        <v>169.04999999999998</v>
      </c>
      <c r="H55" s="101">
        <f t="shared" si="33"/>
        <v>202.85999999999999</v>
      </c>
      <c r="I55" s="101">
        <f t="shared" si="18"/>
        <v>690</v>
      </c>
      <c r="J55" s="98" t="b">
        <f>I55=O33</f>
        <v>1</v>
      </c>
      <c r="L55" s="619"/>
      <c r="M55" s="619"/>
      <c r="N55" s="98" t="s">
        <v>267</v>
      </c>
      <c r="O55" s="101">
        <f>$R$33*U14</f>
        <v>275.31</v>
      </c>
      <c r="P55" s="101">
        <f t="shared" ref="P55:R55" si="34">$R$33*V14</f>
        <v>42.78</v>
      </c>
      <c r="Q55" s="101">
        <f t="shared" si="34"/>
        <v>169.04999999999998</v>
      </c>
      <c r="R55" s="101">
        <f t="shared" si="34"/>
        <v>202.85999999999999</v>
      </c>
      <c r="S55" s="101">
        <f t="shared" si="20"/>
        <v>690</v>
      </c>
      <c r="T55" s="98" t="b">
        <f>S55=R33</f>
        <v>1</v>
      </c>
      <c r="Y55" t="s">
        <v>141</v>
      </c>
      <c r="Z55" t="s">
        <v>103</v>
      </c>
      <c r="AA55" s="75">
        <v>15824.4439</v>
      </c>
    </row>
    <row r="56" spans="2:27" ht="38.25" customHeight="1">
      <c r="B56" s="619" t="s">
        <v>269</v>
      </c>
      <c r="C56" s="619" t="s">
        <v>14</v>
      </c>
      <c r="D56" s="98" t="s">
        <v>266</v>
      </c>
      <c r="E56" s="101">
        <f>$N$35*U15</f>
        <v>241.98399999999998</v>
      </c>
      <c r="F56" s="101">
        <f>$N$35*V15</f>
        <v>57.311999999999998</v>
      </c>
      <c r="G56" s="101">
        <f>$N$35*W15</f>
        <v>329.54399999999998</v>
      </c>
      <c r="H56" s="101">
        <f>$N$35*X15</f>
        <v>167.16</v>
      </c>
      <c r="I56" s="101">
        <f t="shared" ref="I56:I61" si="35">SUM(E56:H56)</f>
        <v>795.99999999999989</v>
      </c>
      <c r="J56" s="98" t="b">
        <f>I56=N35</f>
        <v>1</v>
      </c>
      <c r="L56" s="619" t="s">
        <v>269</v>
      </c>
      <c r="M56" s="619" t="s">
        <v>14</v>
      </c>
      <c r="N56" s="98" t="s">
        <v>266</v>
      </c>
      <c r="O56" s="101">
        <f>$Q$35*U15</f>
        <v>238.03199999999998</v>
      </c>
      <c r="P56" s="101">
        <f t="shared" ref="P56:R56" si="36">$Q$35*V15</f>
        <v>56.375999999999998</v>
      </c>
      <c r="Q56" s="101">
        <f t="shared" si="36"/>
        <v>324.16199999999998</v>
      </c>
      <c r="R56" s="101">
        <f t="shared" si="36"/>
        <v>164.43</v>
      </c>
      <c r="S56" s="101">
        <f t="shared" ref="S56:S61" si="37">SUM(O56:R56)</f>
        <v>783</v>
      </c>
      <c r="T56" s="98" t="b">
        <f>S56=Q35</f>
        <v>1</v>
      </c>
      <c r="Y56" t="s">
        <v>141</v>
      </c>
      <c r="Z56" t="s">
        <v>104</v>
      </c>
      <c r="AA56" s="75">
        <v>11511.7454</v>
      </c>
    </row>
    <row r="57" spans="2:27">
      <c r="B57" s="619"/>
      <c r="C57" s="619"/>
      <c r="D57" s="98" t="s">
        <v>267</v>
      </c>
      <c r="E57" s="101">
        <f>$O$35*U16</f>
        <v>1375.3589999999999</v>
      </c>
      <c r="F57" s="101">
        <f>$O$35*V16</f>
        <v>338.27600000000001</v>
      </c>
      <c r="G57" s="101">
        <f>$O$35*W16</f>
        <v>1651.3209999999999</v>
      </c>
      <c r="H57" s="101">
        <f>$O$35*X16</f>
        <v>1086.0439999999999</v>
      </c>
      <c r="I57" s="101">
        <f t="shared" si="35"/>
        <v>4451</v>
      </c>
      <c r="J57" s="98" t="b">
        <f>I57=O35</f>
        <v>1</v>
      </c>
      <c r="L57" s="619"/>
      <c r="M57" s="619"/>
      <c r="N57" s="98" t="s">
        <v>267</v>
      </c>
      <c r="O57" s="101">
        <f>$R$35*U16</f>
        <v>1374.741</v>
      </c>
      <c r="P57" s="101">
        <f t="shared" ref="P57:R57" si="38">$R$35*V16</f>
        <v>338.12399999999997</v>
      </c>
      <c r="Q57" s="101">
        <f t="shared" si="38"/>
        <v>1650.579</v>
      </c>
      <c r="R57" s="101">
        <f t="shared" si="38"/>
        <v>1085.556</v>
      </c>
      <c r="S57" s="101">
        <f t="shared" si="37"/>
        <v>4449</v>
      </c>
      <c r="T57" s="98" t="b">
        <f>S57=R35</f>
        <v>1</v>
      </c>
      <c r="Y57" t="s">
        <v>141</v>
      </c>
      <c r="Z57" t="s">
        <v>117</v>
      </c>
      <c r="AA57" s="75">
        <v>4659.9287999999997</v>
      </c>
    </row>
    <row r="58" spans="2:27" ht="25.5" customHeight="1">
      <c r="B58" s="619"/>
      <c r="C58" s="619" t="s">
        <v>13</v>
      </c>
      <c r="D58" s="98" t="s">
        <v>266</v>
      </c>
      <c r="E58" s="101">
        <f>$N$36*U11</f>
        <v>160.34399999999999</v>
      </c>
      <c r="F58" s="101">
        <f t="shared" ref="F58:H58" si="39">$N$36*V11</f>
        <v>45.9</v>
      </c>
      <c r="G58" s="101">
        <f t="shared" si="39"/>
        <v>365.976</v>
      </c>
      <c r="H58" s="101">
        <f t="shared" si="39"/>
        <v>39.78</v>
      </c>
      <c r="I58" s="101">
        <f t="shared" si="35"/>
        <v>612</v>
      </c>
      <c r="J58" s="98" t="b">
        <f>I58=N36</f>
        <v>1</v>
      </c>
      <c r="L58" s="619"/>
      <c r="M58" s="619" t="s">
        <v>13</v>
      </c>
      <c r="N58" s="98" t="s">
        <v>266</v>
      </c>
      <c r="O58" s="101">
        <f>$Q$36*U11</f>
        <v>157.72400000000002</v>
      </c>
      <c r="P58" s="101">
        <f t="shared" ref="P58:R58" si="40">$Q$36*V11</f>
        <v>45.15</v>
      </c>
      <c r="Q58" s="101">
        <f t="shared" si="40"/>
        <v>359.99599999999998</v>
      </c>
      <c r="R58" s="101">
        <f t="shared" si="40"/>
        <v>39.130000000000003</v>
      </c>
      <c r="S58" s="101">
        <f t="shared" si="37"/>
        <v>602</v>
      </c>
      <c r="T58" s="98" t="b">
        <f>S58=Q36</f>
        <v>1</v>
      </c>
      <c r="Y58" t="s">
        <v>141</v>
      </c>
      <c r="Z58" t="s">
        <v>118</v>
      </c>
      <c r="AA58" s="75">
        <v>23055.857</v>
      </c>
    </row>
    <row r="59" spans="2:27" ht="25.5" customHeight="1">
      <c r="B59" s="619"/>
      <c r="C59" s="619"/>
      <c r="D59" s="98" t="s">
        <v>267</v>
      </c>
      <c r="E59" s="101">
        <f>$O$36*U12</f>
        <v>883.33699999999999</v>
      </c>
      <c r="F59" s="101">
        <f t="shared" ref="F59:H59" si="41">$O$36*V12</f>
        <v>307.76900000000001</v>
      </c>
      <c r="G59" s="101">
        <f t="shared" si="41"/>
        <v>2530.1010000000001</v>
      </c>
      <c r="H59" s="101">
        <f t="shared" si="41"/>
        <v>275.79300000000001</v>
      </c>
      <c r="I59" s="101">
        <f t="shared" si="35"/>
        <v>3997.0000000000005</v>
      </c>
      <c r="J59" s="98" t="b">
        <f>I59=O36</f>
        <v>1</v>
      </c>
      <c r="L59" s="619"/>
      <c r="M59" s="619"/>
      <c r="N59" s="98" t="s">
        <v>267</v>
      </c>
      <c r="O59" s="101">
        <f>$R$36*U12</f>
        <v>882.89499999999998</v>
      </c>
      <c r="P59" s="101">
        <f t="shared" ref="P59:R59" si="42">$R$36*V12</f>
        <v>307.61500000000001</v>
      </c>
      <c r="Q59" s="101">
        <f t="shared" si="42"/>
        <v>2528.835</v>
      </c>
      <c r="R59" s="101">
        <f t="shared" si="42"/>
        <v>275.65500000000003</v>
      </c>
      <c r="S59" s="101">
        <f t="shared" si="37"/>
        <v>3995.0000000000005</v>
      </c>
      <c r="T59" s="98" t="b">
        <f>S59=R36</f>
        <v>1</v>
      </c>
      <c r="Y59" t="s">
        <v>141</v>
      </c>
      <c r="Z59" t="s">
        <v>119</v>
      </c>
      <c r="AA59" s="75">
        <v>12131.7871</v>
      </c>
    </row>
    <row r="60" spans="2:27">
      <c r="B60" s="619"/>
      <c r="C60" s="619" t="s">
        <v>23</v>
      </c>
      <c r="D60" s="98" t="s">
        <v>266</v>
      </c>
      <c r="E60" s="101">
        <f>$N$37*U17</f>
        <v>654.19799999999998</v>
      </c>
      <c r="F60" s="101">
        <f t="shared" ref="F60:H60" si="43">$N$37*V17</f>
        <v>146.73599999999999</v>
      </c>
      <c r="G60" s="101">
        <f t="shared" si="43"/>
        <v>857.99799999999993</v>
      </c>
      <c r="H60" s="101">
        <f t="shared" si="43"/>
        <v>379.06799999999998</v>
      </c>
      <c r="I60" s="101">
        <f t="shared" si="35"/>
        <v>2037.9999999999998</v>
      </c>
      <c r="J60" s="98" t="b">
        <f>I60=N37</f>
        <v>1</v>
      </c>
      <c r="L60" s="619"/>
      <c r="M60" s="619" t="s">
        <v>23</v>
      </c>
      <c r="N60" s="98" t="s">
        <v>266</v>
      </c>
      <c r="O60" s="101">
        <f>$Q$37*U17</f>
        <v>643.60500000000002</v>
      </c>
      <c r="P60" s="101">
        <f t="shared" ref="P60:R60" si="44">$Q$37*V17</f>
        <v>144.35999999999999</v>
      </c>
      <c r="Q60" s="101">
        <f t="shared" si="44"/>
        <v>844.10500000000002</v>
      </c>
      <c r="R60" s="101">
        <f t="shared" si="44"/>
        <v>372.93</v>
      </c>
      <c r="S60" s="101">
        <f t="shared" si="37"/>
        <v>2005.0000000000002</v>
      </c>
      <c r="T60" s="98" t="b">
        <f>S60=Q37</f>
        <v>1</v>
      </c>
      <c r="Y60" t="s">
        <v>143</v>
      </c>
      <c r="Z60" t="s">
        <v>121</v>
      </c>
      <c r="AA60" s="75">
        <v>17191.4817</v>
      </c>
    </row>
    <row r="61" spans="2:27">
      <c r="B61" s="619"/>
      <c r="C61" s="619"/>
      <c r="D61" s="98" t="s">
        <v>267</v>
      </c>
      <c r="E61" s="101">
        <f>$O$37*U18</f>
        <v>317.16799999999995</v>
      </c>
      <c r="F61" s="101">
        <f t="shared" ref="F61:H61" si="45">$O$37*V18</f>
        <v>87.59</v>
      </c>
      <c r="G61" s="101">
        <f t="shared" si="45"/>
        <v>352.20400000000001</v>
      </c>
      <c r="H61" s="101">
        <f t="shared" si="45"/>
        <v>165.03799999999998</v>
      </c>
      <c r="I61" s="101">
        <f t="shared" si="35"/>
        <v>922</v>
      </c>
      <c r="J61" s="98" t="b">
        <f>I61=O37</f>
        <v>1</v>
      </c>
      <c r="L61" s="619"/>
      <c r="M61" s="619"/>
      <c r="N61" s="98" t="s">
        <v>267</v>
      </c>
      <c r="O61" s="101">
        <f>$R$37*U18</f>
        <v>317.16799999999995</v>
      </c>
      <c r="P61" s="101">
        <f t="shared" ref="P61:R61" si="46">$R$37*V18</f>
        <v>87.59</v>
      </c>
      <c r="Q61" s="101">
        <f t="shared" si="46"/>
        <v>352.20400000000001</v>
      </c>
      <c r="R61" s="101">
        <f t="shared" si="46"/>
        <v>165.03799999999998</v>
      </c>
      <c r="S61" s="101">
        <f t="shared" si="37"/>
        <v>922</v>
      </c>
      <c r="T61" s="98" t="b">
        <f>S61=R37</f>
        <v>1</v>
      </c>
      <c r="Y61" t="s">
        <v>143</v>
      </c>
      <c r="Z61" t="s">
        <v>122</v>
      </c>
      <c r="AA61" s="75">
        <v>22736.497299999999</v>
      </c>
    </row>
    <row r="62" spans="2:27">
      <c r="B62" s="619" t="s">
        <v>144</v>
      </c>
      <c r="C62" s="619"/>
      <c r="D62" s="98" t="s">
        <v>266</v>
      </c>
      <c r="E62" s="101">
        <f>$N$38*U15</f>
        <v>331.66399999999999</v>
      </c>
      <c r="F62" s="101">
        <f t="shared" ref="F62:H62" si="47">$N$38*V15</f>
        <v>78.551999999999992</v>
      </c>
      <c r="G62" s="101">
        <f t="shared" si="47"/>
        <v>451.67399999999998</v>
      </c>
      <c r="H62" s="101">
        <f t="shared" si="47"/>
        <v>229.10999999999999</v>
      </c>
      <c r="I62" s="101">
        <f t="shared" ref="I62:I65" si="48">SUM(E62:H62)</f>
        <v>1091</v>
      </c>
      <c r="J62" s="98" t="b">
        <f>I62=N38</f>
        <v>1</v>
      </c>
      <c r="L62" s="619" t="s">
        <v>144</v>
      </c>
      <c r="M62" s="619"/>
      <c r="N62" s="98" t="s">
        <v>266</v>
      </c>
      <c r="O62" s="101">
        <f>$Q$38*U15</f>
        <v>326.19200000000001</v>
      </c>
      <c r="P62" s="101">
        <f t="shared" ref="P62:R62" si="49">$Q$38*V15</f>
        <v>77.256</v>
      </c>
      <c r="Q62" s="101">
        <f t="shared" si="49"/>
        <v>444.22199999999998</v>
      </c>
      <c r="R62" s="101">
        <f t="shared" si="49"/>
        <v>225.32999999999998</v>
      </c>
      <c r="S62" s="101">
        <f t="shared" ref="S62:S65" si="50">SUM(O62:R62)</f>
        <v>1073</v>
      </c>
      <c r="T62" s="98" t="b">
        <f>S62=Q38</f>
        <v>1</v>
      </c>
      <c r="Y62" t="s">
        <v>143</v>
      </c>
      <c r="Z62" t="s">
        <v>123</v>
      </c>
      <c r="AA62" s="75">
        <v>11592.5041</v>
      </c>
    </row>
    <row r="63" spans="2:27">
      <c r="B63" s="619"/>
      <c r="C63" s="619"/>
      <c r="D63" s="98" t="s">
        <v>267</v>
      </c>
      <c r="E63" s="101">
        <f>$O$38*U16</f>
        <v>884.976</v>
      </c>
      <c r="F63" s="101">
        <f t="shared" ref="F63:H63" si="51">$O$38*V16</f>
        <v>217.66399999999999</v>
      </c>
      <c r="G63" s="101">
        <f t="shared" si="51"/>
        <v>1062.5440000000001</v>
      </c>
      <c r="H63" s="101">
        <f t="shared" si="51"/>
        <v>698.81600000000003</v>
      </c>
      <c r="I63" s="101">
        <f t="shared" si="48"/>
        <v>2864</v>
      </c>
      <c r="J63" s="98" t="b">
        <f>I63=O38</f>
        <v>1</v>
      </c>
      <c r="L63" s="619"/>
      <c r="M63" s="619"/>
      <c r="N63" s="98" t="s">
        <v>267</v>
      </c>
      <c r="O63" s="101">
        <f>$R$38*U16</f>
        <v>884.66700000000003</v>
      </c>
      <c r="P63" s="101">
        <f t="shared" ref="P63:R63" si="52">$R$38*V16</f>
        <v>217.58799999999999</v>
      </c>
      <c r="Q63" s="101">
        <f t="shared" si="52"/>
        <v>1062.173</v>
      </c>
      <c r="R63" s="101">
        <f t="shared" si="52"/>
        <v>698.572</v>
      </c>
      <c r="S63" s="101">
        <f t="shared" si="50"/>
        <v>2863</v>
      </c>
      <c r="T63" s="98" t="b">
        <f>S63=R38</f>
        <v>1</v>
      </c>
      <c r="Y63" t="s">
        <v>144</v>
      </c>
      <c r="Z63" t="s">
        <v>125</v>
      </c>
      <c r="AA63" s="75">
        <v>11518.725399999999</v>
      </c>
    </row>
    <row r="64" spans="2:27" ht="16.5" customHeight="1">
      <c r="B64" s="619" t="s">
        <v>270</v>
      </c>
      <c r="C64" s="619"/>
      <c r="D64" s="98" t="s">
        <v>266</v>
      </c>
      <c r="E64" s="101">
        <f>$N$39*U11</f>
        <v>90.128</v>
      </c>
      <c r="F64" s="101">
        <f t="shared" ref="F64:H64" si="53">$N$39*V11</f>
        <v>25.8</v>
      </c>
      <c r="G64" s="101">
        <f t="shared" si="53"/>
        <v>205.71199999999999</v>
      </c>
      <c r="H64" s="101">
        <f t="shared" si="53"/>
        <v>22.36</v>
      </c>
      <c r="I64" s="101">
        <f t="shared" si="48"/>
        <v>344</v>
      </c>
      <c r="J64" s="98" t="b">
        <f>I64=N39</f>
        <v>1</v>
      </c>
      <c r="L64" s="619" t="s">
        <v>270</v>
      </c>
      <c r="M64" s="619"/>
      <c r="N64" s="98" t="s">
        <v>266</v>
      </c>
      <c r="O64" s="101">
        <f>$Q$39*U11</f>
        <v>88.555999999999997</v>
      </c>
      <c r="P64" s="101">
        <f t="shared" ref="P64:R64" si="54">$Q$39*V11</f>
        <v>25.349999999999998</v>
      </c>
      <c r="Q64" s="101">
        <f t="shared" si="54"/>
        <v>202.124</v>
      </c>
      <c r="R64" s="101">
        <f t="shared" si="54"/>
        <v>21.970000000000002</v>
      </c>
      <c r="S64" s="101">
        <f t="shared" si="50"/>
        <v>338</v>
      </c>
      <c r="T64" s="98" t="b">
        <f>S64=Q39</f>
        <v>1</v>
      </c>
      <c r="Y64" t="s">
        <v>24</v>
      </c>
      <c r="Z64" t="s">
        <v>126</v>
      </c>
      <c r="AA64" s="75">
        <v>8739.51</v>
      </c>
    </row>
    <row r="65" spans="2:27">
      <c r="B65" s="619"/>
      <c r="C65" s="619"/>
      <c r="D65" s="98" t="s">
        <v>267</v>
      </c>
      <c r="E65" s="101">
        <f>$O$39*U12</f>
        <v>497.25</v>
      </c>
      <c r="F65" s="101">
        <f t="shared" ref="F65:H65" si="55">$O$39*V12</f>
        <v>173.25</v>
      </c>
      <c r="G65" s="101">
        <f t="shared" si="55"/>
        <v>1424.25</v>
      </c>
      <c r="H65" s="101">
        <f t="shared" si="55"/>
        <v>155.25</v>
      </c>
      <c r="I65" s="101">
        <f t="shared" si="48"/>
        <v>2250</v>
      </c>
      <c r="J65" s="98" t="b">
        <f>I65=O39</f>
        <v>1</v>
      </c>
      <c r="L65" s="619"/>
      <c r="M65" s="619"/>
      <c r="N65" s="98" t="s">
        <v>267</v>
      </c>
      <c r="O65" s="101">
        <f>$R$39*U12</f>
        <v>497.029</v>
      </c>
      <c r="P65" s="101">
        <f t="shared" ref="P65:R65" si="56">$R$39*V12</f>
        <v>173.173</v>
      </c>
      <c r="Q65" s="101">
        <f t="shared" si="56"/>
        <v>1423.617</v>
      </c>
      <c r="R65" s="101">
        <f t="shared" si="56"/>
        <v>155.18100000000001</v>
      </c>
      <c r="S65" s="101">
        <f t="shared" si="50"/>
        <v>2249</v>
      </c>
      <c r="T65" s="98" t="b">
        <f>S65=R39</f>
        <v>1</v>
      </c>
      <c r="Y65" t="s">
        <v>146</v>
      </c>
      <c r="Z65" t="s">
        <v>127</v>
      </c>
      <c r="AA65" s="75">
        <v>2599.7966999999999</v>
      </c>
    </row>
    <row r="66" spans="2:27">
      <c r="Y66" t="s">
        <v>146</v>
      </c>
      <c r="Z66" t="s">
        <v>128</v>
      </c>
      <c r="AA66" s="75">
        <v>1032.4983</v>
      </c>
    </row>
    <row r="67" spans="2:27">
      <c r="Y67" t="s">
        <v>146</v>
      </c>
      <c r="Z67" t="s">
        <v>130</v>
      </c>
      <c r="AA67" s="75">
        <v>1625.5998999999999</v>
      </c>
    </row>
    <row r="68" spans="2:27">
      <c r="Y68" t="s">
        <v>146</v>
      </c>
      <c r="Z68" t="s">
        <v>131</v>
      </c>
      <c r="AA68" s="75">
        <v>2880.0880999999999</v>
      </c>
    </row>
    <row r="69" spans="2:27" ht="23">
      <c r="B69" s="102" t="s">
        <v>355</v>
      </c>
      <c r="L69" s="102" t="s">
        <v>356</v>
      </c>
      <c r="Y69" t="s">
        <v>146</v>
      </c>
      <c r="Z69" t="s">
        <v>132</v>
      </c>
      <c r="AA69" s="75">
        <v>687.99680000000001</v>
      </c>
    </row>
    <row r="70" spans="2:27" ht="16.5" customHeight="1">
      <c r="Y70" t="s">
        <v>146</v>
      </c>
      <c r="Z70" t="s">
        <v>133</v>
      </c>
      <c r="AA70" s="75">
        <v>2308.0711000000001</v>
      </c>
    </row>
    <row r="71" spans="2:27" ht="16.5" customHeight="1">
      <c r="G71" t="s">
        <v>277</v>
      </c>
      <c r="Y71" t="s">
        <v>146</v>
      </c>
      <c r="Z71" t="s">
        <v>134</v>
      </c>
      <c r="AA71" s="75">
        <v>4090.5911999999998</v>
      </c>
    </row>
    <row r="72" spans="2:27">
      <c r="C72" s="621" t="s">
        <v>27</v>
      </c>
      <c r="D72" s="621"/>
      <c r="E72" s="160" t="s">
        <v>261</v>
      </c>
      <c r="F72" s="160" t="s">
        <v>262</v>
      </c>
      <c r="G72" s="160" t="s">
        <v>357</v>
      </c>
      <c r="I72" s="100" t="s">
        <v>264</v>
      </c>
      <c r="J72" s="100" t="s">
        <v>265</v>
      </c>
      <c r="M72" s="621" t="s">
        <v>27</v>
      </c>
      <c r="N72" s="621"/>
      <c r="O72" s="160" t="s">
        <v>261</v>
      </c>
      <c r="P72" s="160" t="s">
        <v>262</v>
      </c>
      <c r="Q72" s="160" t="s">
        <v>358</v>
      </c>
    </row>
    <row r="73" spans="2:27" ht="16.5" customHeight="1">
      <c r="C73" s="618" t="s">
        <v>135</v>
      </c>
      <c r="D73" s="618"/>
      <c r="E73" s="161"/>
      <c r="F73" s="161"/>
      <c r="G73" s="161"/>
      <c r="I73" s="98"/>
      <c r="J73" s="98"/>
      <c r="M73" s="618" t="s">
        <v>135</v>
      </c>
      <c r="N73" s="618"/>
      <c r="O73" s="161"/>
      <c r="P73" s="161"/>
      <c r="Q73" s="161"/>
    </row>
    <row r="74" spans="2:27">
      <c r="C74" s="618" t="s">
        <v>136</v>
      </c>
      <c r="D74" s="618"/>
      <c r="E74" s="162">
        <f>SUM(E$46:E$47)/$L$7</f>
        <v>166.07943262411348</v>
      </c>
      <c r="F74" s="162">
        <f>SUM(F$46:F$47)/$M$7</f>
        <v>52.894666666666666</v>
      </c>
      <c r="G74" s="162">
        <f>SUM(G$46:G$47)/$O$7</f>
        <v>22.566585620006947</v>
      </c>
      <c r="I74" s="98"/>
      <c r="J74" s="98"/>
      <c r="M74" s="618" t="s">
        <v>136</v>
      </c>
      <c r="N74" s="618"/>
      <c r="O74" s="162">
        <f>SUM(O$46:O$47)/$L$7</f>
        <v>165.52198581560285</v>
      </c>
      <c r="P74" s="162">
        <f>SUM(P$46:P$47)/$M$7</f>
        <v>52.744666666666667</v>
      </c>
      <c r="Q74" s="162">
        <f>SUM(Q$46:Q$47)/$O$7</f>
        <v>22.50427231677666</v>
      </c>
    </row>
    <row r="75" spans="2:27" ht="16.5" customHeight="1">
      <c r="C75" s="618" t="s">
        <v>137</v>
      </c>
      <c r="D75" s="618"/>
      <c r="E75" s="162">
        <f>SUM(E$48:E$49)/$L$7</f>
        <v>1481.9652482269503</v>
      </c>
      <c r="F75" s="162">
        <f>SUM(F$48:F$49)/$M$7</f>
        <v>340.72800000000001</v>
      </c>
      <c r="G75" s="162">
        <f>SUM(G$48:G$49)/$O$7</f>
        <v>88.892427926363325</v>
      </c>
      <c r="I75" s="98"/>
      <c r="J75" s="98"/>
      <c r="M75" s="618" t="s">
        <v>137</v>
      </c>
      <c r="N75" s="618"/>
      <c r="O75" s="162">
        <f>SUM(O$48:O$49)/$L$7</f>
        <v>1477.8617021276596</v>
      </c>
      <c r="P75" s="162">
        <f>SUM(P$48:P$49)/$M$7</f>
        <v>339.81066666666669</v>
      </c>
      <c r="Q75" s="162">
        <f>SUM(Q$48:Q$49)/$O$7</f>
        <v>88.622195206668991</v>
      </c>
    </row>
    <row r="76" spans="2:27">
      <c r="C76" s="618" t="s">
        <v>139</v>
      </c>
      <c r="D76" s="618"/>
      <c r="E76" s="162">
        <f>SUM(E$50:E$51)/$L$7</f>
        <v>11632.46595744681</v>
      </c>
      <c r="F76" s="162">
        <f>SUM(F$50:F$51)/$M$7</f>
        <v>1528.4486666666664</v>
      </c>
      <c r="G76" s="162">
        <f>SUM(G$50:G$51)/$O$7</f>
        <v>462.25585272664119</v>
      </c>
      <c r="I76" s="98"/>
      <c r="J76" s="98"/>
      <c r="M76" s="618" t="s">
        <v>139</v>
      </c>
      <c r="N76" s="618"/>
      <c r="O76" s="162">
        <f>SUM(O$50:O$51)/$L$7</f>
        <v>11501.352482269504</v>
      </c>
      <c r="P76" s="162">
        <f>SUM(P$50:P$51)/$M$7</f>
        <v>1512.0919999999999</v>
      </c>
      <c r="Q76" s="162">
        <f>SUM(Q$50:Q$51)/$O$7</f>
        <v>456.47172629385199</v>
      </c>
    </row>
    <row r="77" spans="2:27" ht="16.5" customHeight="1">
      <c r="C77" s="618" t="s">
        <v>43</v>
      </c>
      <c r="D77" s="618"/>
      <c r="E77" s="162">
        <f>SUM(E$52:E$53)/$L$7</f>
        <v>1022.0297872340427</v>
      </c>
      <c r="F77" s="162">
        <f>SUM(F$52:F$53)/$M$7</f>
        <v>130.78666666666666</v>
      </c>
      <c r="G77" s="162">
        <f>SUM(G$52:G$53)/$O$7</f>
        <v>42.921917332407077</v>
      </c>
      <c r="I77" s="98"/>
      <c r="J77" s="98"/>
      <c r="M77" s="618" t="s">
        <v>43</v>
      </c>
      <c r="N77" s="618"/>
      <c r="O77" s="162">
        <f>SUM(O$52:O$53)/$L$7</f>
        <v>1007.831205673759</v>
      </c>
      <c r="P77" s="162">
        <f>SUM(P$52:P$53)/$M$7</f>
        <v>129.01866666666663</v>
      </c>
      <c r="Q77" s="162">
        <f>SUM(Q$52:Q$53)/$O$7</f>
        <v>42.293365751997214</v>
      </c>
    </row>
    <row r="78" spans="2:27">
      <c r="C78" s="618" t="s">
        <v>141</v>
      </c>
      <c r="D78" s="618"/>
      <c r="E78" s="162">
        <f>SUM(E$54:E$55)/$L$7</f>
        <v>928.12056737588648</v>
      </c>
      <c r="F78" s="162">
        <f>SUM(F$54:F$55)/$M$7</f>
        <v>119.776</v>
      </c>
      <c r="G78" s="162">
        <f>SUM(G$54:G$55)/$O$7</f>
        <v>38.314762070163248</v>
      </c>
      <c r="I78" s="98"/>
      <c r="J78" s="98"/>
      <c r="M78" s="618" t="s">
        <v>141</v>
      </c>
      <c r="N78" s="618"/>
      <c r="O78" s="162">
        <f>SUM(O$54:O$55)/$L$7</f>
        <v>916.10638297872345</v>
      </c>
      <c r="P78" s="162">
        <f>SUM(P$54:P$55)/$M$7</f>
        <v>118.27999999999999</v>
      </c>
      <c r="Q78" s="162">
        <f>SUM(Q$54:Q$55)/$O$7</f>
        <v>37.782910732893363</v>
      </c>
    </row>
    <row r="79" spans="2:27">
      <c r="C79" s="103" t="s">
        <v>142</v>
      </c>
      <c r="D79" s="103" t="s">
        <v>21</v>
      </c>
      <c r="E79" s="162"/>
      <c r="F79" s="162"/>
      <c r="G79" s="162"/>
      <c r="I79" s="98"/>
      <c r="J79" s="98"/>
      <c r="M79" s="103" t="s">
        <v>142</v>
      </c>
      <c r="N79" s="103" t="s">
        <v>21</v>
      </c>
      <c r="O79" s="162"/>
      <c r="P79" s="162"/>
      <c r="Q79" s="162"/>
    </row>
    <row r="80" spans="2:27">
      <c r="C80" s="103" t="s">
        <v>19</v>
      </c>
      <c r="D80" s="103" t="s">
        <v>14</v>
      </c>
      <c r="E80" s="162">
        <f>SUM(E$56:E$57)/$L$7</f>
        <v>1147.0517730496454</v>
      </c>
      <c r="F80" s="162">
        <f>SUM(F$56:F$57)/$M$7</f>
        <v>263.72533333333337</v>
      </c>
      <c r="G80" s="162">
        <f>SUM(G$56:G$57)/$O$7</f>
        <v>68.803924973949279</v>
      </c>
      <c r="I80" s="98"/>
      <c r="J80" s="98"/>
      <c r="M80" s="103" t="s">
        <v>19</v>
      </c>
      <c r="N80" s="103" t="s">
        <v>14</v>
      </c>
      <c r="O80" s="162">
        <f>SUM(O$56:O$57)/$L$7</f>
        <v>1143.8106382978724</v>
      </c>
      <c r="P80" s="162">
        <f>SUM(P$56:P$57)/$M$7</f>
        <v>262.99999999999994</v>
      </c>
      <c r="Q80" s="162">
        <f>SUM(Q$56:Q$57)/$O$7</f>
        <v>68.591212226467519</v>
      </c>
    </row>
    <row r="81" spans="3:40" ht="17.25" customHeight="1">
      <c r="C81" s="103" t="s">
        <v>20</v>
      </c>
      <c r="D81" s="103" t="s">
        <v>13</v>
      </c>
      <c r="E81" s="162">
        <f>SUM(E$58:E$59)/$L$7</f>
        <v>740.19929078014195</v>
      </c>
      <c r="F81" s="162">
        <f>SUM(F$58:F$59)/$M$7</f>
        <v>235.77933333333331</v>
      </c>
      <c r="G81" s="162">
        <f>SUM(G$58:G$59)/$O$7</f>
        <v>100.59315734630081</v>
      </c>
      <c r="I81" s="98"/>
      <c r="J81" s="98"/>
      <c r="M81" s="103" t="s">
        <v>20</v>
      </c>
      <c r="N81" s="103" t="s">
        <v>13</v>
      </c>
      <c r="O81" s="162">
        <f>SUM(O$58:O$59)/$L$7</f>
        <v>738.02765957446809</v>
      </c>
      <c r="P81" s="162">
        <f>SUM(P$58:P$59)/$M$7</f>
        <v>235.17666666666665</v>
      </c>
      <c r="Q81" s="162">
        <f>SUM(Q$58:Q$59)/$O$7</f>
        <v>100.34147273358806</v>
      </c>
    </row>
    <row r="82" spans="3:40" ht="17.5" thickBot="1">
      <c r="C82" s="104"/>
      <c r="D82" s="103" t="s">
        <v>23</v>
      </c>
      <c r="E82" s="162">
        <f>SUM(E$60:E$61)/$L$7</f>
        <v>688.91205673758873</v>
      </c>
      <c r="F82" s="162">
        <f>SUM(F$60:F$61)/$M$7</f>
        <v>156.21733333333333</v>
      </c>
      <c r="G82" s="162">
        <f>SUM(G$60:G$61)/$O$7</f>
        <v>42.035498436957276</v>
      </c>
      <c r="I82" s="98"/>
      <c r="J82" s="98"/>
      <c r="M82" s="104"/>
      <c r="N82" s="103" t="s">
        <v>23</v>
      </c>
      <c r="O82" s="162">
        <f>SUM(O$60:O$61)/$L$7</f>
        <v>681.39929078014177</v>
      </c>
      <c r="P82" s="162">
        <f>SUM(P$60:P$61)/$M$7</f>
        <v>154.63333333333333</v>
      </c>
      <c r="Q82" s="162">
        <f>SUM(Q$60:Q$61)/$O$7</f>
        <v>41.552935046891285</v>
      </c>
      <c r="AF82" s="8">
        <v>6288</v>
      </c>
      <c r="AG82" s="8">
        <v>5368</v>
      </c>
      <c r="AH82" s="8">
        <v>6892</v>
      </c>
      <c r="AI82" s="8">
        <v>1592</v>
      </c>
      <c r="AJ82" s="8">
        <v>1224</v>
      </c>
      <c r="AK82" s="8">
        <v>4076</v>
      </c>
      <c r="AL82" s="8">
        <v>2182</v>
      </c>
      <c r="AM82" s="9">
        <v>688</v>
      </c>
      <c r="AN82" s="17">
        <v>82104</v>
      </c>
    </row>
    <row r="83" spans="3:40" ht="18" customHeight="1" thickTop="1" thickBot="1">
      <c r="C83" s="618" t="s">
        <v>144</v>
      </c>
      <c r="D83" s="618"/>
      <c r="E83" s="162">
        <f>SUM(E$62:E$63)/$L$7</f>
        <v>862.86524822695026</v>
      </c>
      <c r="F83" s="162">
        <f>SUM(F$62:F$63)/$M$7</f>
        <v>197.47733333333335</v>
      </c>
      <c r="G83" s="162">
        <f>SUM(G$62:G$63)/$O$7</f>
        <v>52.595276137547764</v>
      </c>
      <c r="I83" s="98"/>
      <c r="J83" s="98"/>
      <c r="M83" s="618" t="s">
        <v>144</v>
      </c>
      <c r="N83" s="618"/>
      <c r="O83" s="162">
        <f>SUM(O$62:O$63)/$L$7</f>
        <v>858.76524822695035</v>
      </c>
      <c r="P83" s="162">
        <f>SUM(P$62:P$63)/$M$7</f>
        <v>196.56266666666667</v>
      </c>
      <c r="Q83" s="162">
        <f>SUM(Q$62:Q$63)/$O$7</f>
        <v>52.32354984369573</v>
      </c>
      <c r="AF83" s="8">
        <v>1156</v>
      </c>
      <c r="AG83" s="8">
        <v>1380</v>
      </c>
      <c r="AH83" s="8">
        <v>18740</v>
      </c>
      <c r="AI83" s="8">
        <v>8902</v>
      </c>
      <c r="AJ83" s="8">
        <v>7994</v>
      </c>
      <c r="AK83" s="8">
        <v>1844</v>
      </c>
      <c r="AL83" s="8">
        <v>5728</v>
      </c>
      <c r="AM83" s="8">
        <v>4500</v>
      </c>
      <c r="AN83" s="17">
        <v>71140</v>
      </c>
    </row>
    <row r="84" spans="3:40" ht="18" thickTop="1" thickBot="1">
      <c r="C84" s="618" t="s">
        <v>145</v>
      </c>
      <c r="D84" s="618"/>
      <c r="E84" s="162">
        <f>SUM(E$64:E$65)/$L$7</f>
        <v>416.58014184397166</v>
      </c>
      <c r="F84" s="162">
        <f>SUM(F$64:F$65)/$M$7</f>
        <v>132.70000000000002</v>
      </c>
      <c r="G84" s="162">
        <f>SUM(G$64:G$65)/$O$7</f>
        <v>56.615560958666208</v>
      </c>
      <c r="I84" s="98"/>
      <c r="J84" s="98"/>
      <c r="M84" s="618" t="s">
        <v>145</v>
      </c>
      <c r="N84" s="618"/>
      <c r="O84" s="162">
        <f>SUM(O$64:O$65)/$L$7</f>
        <v>415.30851063829795</v>
      </c>
      <c r="P84" s="162">
        <f>SUM(P$64:P$65)/$M$7</f>
        <v>132.34866666666667</v>
      </c>
      <c r="Q84" s="162">
        <f>SUM(Q$64:Q$65)/$O$7</f>
        <v>56.468947551233072</v>
      </c>
      <c r="AF84" s="8">
        <v>7444</v>
      </c>
      <c r="AG84" s="8">
        <v>6748</v>
      </c>
      <c r="AH84" s="8">
        <v>25632</v>
      </c>
      <c r="AI84" s="8">
        <v>10494</v>
      </c>
      <c r="AJ84" s="8">
        <v>9218</v>
      </c>
      <c r="AK84" s="8">
        <v>5920</v>
      </c>
      <c r="AL84" s="8">
        <v>7910</v>
      </c>
      <c r="AM84" s="8">
        <v>5188</v>
      </c>
      <c r="AN84" s="17">
        <v>153244</v>
      </c>
    </row>
    <row r="85" spans="3:40" ht="18" thickTop="1" thickBot="1">
      <c r="C85" s="618" t="s">
        <v>26</v>
      </c>
      <c r="D85" s="618"/>
      <c r="E85" s="161"/>
      <c r="F85" s="161"/>
      <c r="G85" s="161"/>
      <c r="I85" s="98"/>
      <c r="J85" s="98"/>
      <c r="M85" s="618" t="s">
        <v>26</v>
      </c>
      <c r="N85" s="618"/>
      <c r="O85" s="161"/>
      <c r="P85" s="161"/>
      <c r="Q85" s="161"/>
      <c r="AF85" s="8">
        <v>6184</v>
      </c>
      <c r="AG85" s="8">
        <v>5280</v>
      </c>
      <c r="AH85" s="8">
        <v>6780</v>
      </c>
      <c r="AI85" s="8">
        <v>1566</v>
      </c>
      <c r="AJ85" s="8">
        <v>1204</v>
      </c>
      <c r="AK85" s="8">
        <v>4010</v>
      </c>
      <c r="AL85" s="8">
        <v>2146</v>
      </c>
      <c r="AM85" s="9">
        <v>676</v>
      </c>
      <c r="AN85" s="17">
        <v>80762</v>
      </c>
    </row>
    <row r="86" spans="3:40" ht="18" thickTop="1" thickBot="1">
      <c r="AF86" s="8">
        <v>1156</v>
      </c>
      <c r="AG86" s="8">
        <v>1380</v>
      </c>
      <c r="AH86" s="8">
        <v>18732</v>
      </c>
      <c r="AI86" s="8">
        <v>8898</v>
      </c>
      <c r="AJ86" s="8">
        <v>7990</v>
      </c>
      <c r="AK86" s="8">
        <v>1844</v>
      </c>
      <c r="AL86" s="8">
        <v>5726</v>
      </c>
      <c r="AM86" s="8">
        <v>4498</v>
      </c>
      <c r="AN86" s="17">
        <v>71114</v>
      </c>
    </row>
    <row r="87" spans="3:40" ht="45" thickTop="1" thickBot="1">
      <c r="J87" s="26" t="s">
        <v>48</v>
      </c>
      <c r="AF87" s="11">
        <v>7340</v>
      </c>
      <c r="AG87" s="11">
        <v>6660</v>
      </c>
      <c r="AH87" s="11">
        <v>25512</v>
      </c>
      <c r="AI87" s="11">
        <v>10464</v>
      </c>
      <c r="AJ87" s="11">
        <v>9194</v>
      </c>
      <c r="AK87" s="11">
        <v>5854</v>
      </c>
      <c r="AL87" s="11">
        <v>7872</v>
      </c>
      <c r="AM87" s="11">
        <v>5174</v>
      </c>
      <c r="AN87" s="18">
        <v>151876</v>
      </c>
    </row>
    <row r="88" spans="3:40" ht="21.5" thickTop="1" thickBot="1">
      <c r="K88" s="25" t="s">
        <v>69</v>
      </c>
    </row>
    <row r="89" spans="3:40" ht="17.5" thickTop="1">
      <c r="K89" s="606" t="s">
        <v>49</v>
      </c>
      <c r="L89" s="608" t="s">
        <v>50</v>
      </c>
      <c r="M89" s="609"/>
      <c r="N89" s="608" t="s">
        <v>51</v>
      </c>
      <c r="O89" s="609"/>
      <c r="P89" s="608" t="s">
        <v>52</v>
      </c>
      <c r="Q89" s="609"/>
      <c r="R89" s="608" t="s">
        <v>53</v>
      </c>
      <c r="S89" s="628"/>
      <c r="T89" s="629"/>
    </row>
    <row r="90" spans="3:40" ht="17.5" thickBot="1">
      <c r="K90" s="607"/>
      <c r="L90" s="27" t="s">
        <v>40</v>
      </c>
      <c r="M90" s="27" t="s">
        <v>41</v>
      </c>
      <c r="N90" s="27" t="s">
        <v>40</v>
      </c>
      <c r="O90" s="27" t="s">
        <v>41</v>
      </c>
      <c r="P90" s="27" t="s">
        <v>40</v>
      </c>
      <c r="Q90" s="27" t="s">
        <v>41</v>
      </c>
      <c r="R90" s="27" t="s">
        <v>40</v>
      </c>
      <c r="S90" s="27" t="s">
        <v>41</v>
      </c>
      <c r="T90" s="28" t="s">
        <v>21</v>
      </c>
    </row>
    <row r="91" spans="3:40" ht="17.5" thickTop="1">
      <c r="K91" s="22" t="s">
        <v>54</v>
      </c>
      <c r="L91" s="6">
        <v>15</v>
      </c>
      <c r="M91" s="6">
        <v>15</v>
      </c>
      <c r="N91" s="6">
        <v>8</v>
      </c>
      <c r="O91" s="6">
        <v>8</v>
      </c>
      <c r="P91" s="6">
        <v>16</v>
      </c>
      <c r="Q91" s="6">
        <v>16</v>
      </c>
      <c r="R91" s="6">
        <v>39</v>
      </c>
      <c r="S91" s="6">
        <v>39</v>
      </c>
      <c r="T91" s="7">
        <v>78</v>
      </c>
    </row>
    <row r="92" spans="3:40">
      <c r="K92" s="23" t="s">
        <v>55</v>
      </c>
      <c r="L92" s="9">
        <v>17</v>
      </c>
      <c r="M92" s="9">
        <v>17</v>
      </c>
      <c r="N92" s="9">
        <v>9</v>
      </c>
      <c r="O92" s="9">
        <v>9</v>
      </c>
      <c r="P92" s="9">
        <v>18</v>
      </c>
      <c r="Q92" s="9">
        <v>18</v>
      </c>
      <c r="R92" s="9">
        <v>44</v>
      </c>
      <c r="S92" s="9">
        <v>44</v>
      </c>
      <c r="T92" s="10">
        <v>88</v>
      </c>
    </row>
    <row r="93" spans="3:40">
      <c r="K93" s="23" t="s">
        <v>56</v>
      </c>
      <c r="L93" s="9">
        <v>17</v>
      </c>
      <c r="M93" s="9">
        <v>17</v>
      </c>
      <c r="N93" s="9">
        <v>9</v>
      </c>
      <c r="O93" s="9">
        <v>9</v>
      </c>
      <c r="P93" s="9">
        <v>18</v>
      </c>
      <c r="Q93" s="9">
        <v>18</v>
      </c>
      <c r="R93" s="9">
        <v>44</v>
      </c>
      <c r="S93" s="9">
        <v>44</v>
      </c>
      <c r="T93" s="10">
        <v>88</v>
      </c>
    </row>
    <row r="94" spans="3:40">
      <c r="K94" s="23" t="s">
        <v>57</v>
      </c>
      <c r="L94" s="9">
        <v>60</v>
      </c>
      <c r="M94" s="9">
        <v>60</v>
      </c>
      <c r="N94" s="9">
        <v>33</v>
      </c>
      <c r="O94" s="9">
        <v>33</v>
      </c>
      <c r="P94" s="9">
        <v>65</v>
      </c>
      <c r="Q94" s="9">
        <v>65</v>
      </c>
      <c r="R94" s="9">
        <v>158</v>
      </c>
      <c r="S94" s="9">
        <v>158</v>
      </c>
      <c r="T94" s="10">
        <v>316</v>
      </c>
    </row>
    <row r="95" spans="3:40">
      <c r="K95" s="23" t="s">
        <v>58</v>
      </c>
      <c r="L95" s="9">
        <v>103</v>
      </c>
      <c r="M95" s="9">
        <v>103</v>
      </c>
      <c r="N95" s="9">
        <v>56</v>
      </c>
      <c r="O95" s="9">
        <v>56</v>
      </c>
      <c r="P95" s="9">
        <v>112</v>
      </c>
      <c r="Q95" s="9">
        <v>112</v>
      </c>
      <c r="R95" s="9">
        <v>271</v>
      </c>
      <c r="S95" s="9">
        <v>271</v>
      </c>
      <c r="T95" s="10">
        <v>542</v>
      </c>
    </row>
    <row r="96" spans="3:40">
      <c r="K96" s="23" t="s">
        <v>59</v>
      </c>
      <c r="L96" s="9">
        <v>94</v>
      </c>
      <c r="M96" s="9">
        <v>94</v>
      </c>
      <c r="N96" s="9">
        <v>52</v>
      </c>
      <c r="O96" s="9">
        <v>52</v>
      </c>
      <c r="P96" s="9">
        <v>103</v>
      </c>
      <c r="Q96" s="9">
        <v>103</v>
      </c>
      <c r="R96" s="9">
        <v>249</v>
      </c>
      <c r="S96" s="9">
        <v>249</v>
      </c>
      <c r="T96" s="10">
        <v>498</v>
      </c>
    </row>
    <row r="97" spans="11:20">
      <c r="K97" s="23" t="s">
        <v>60</v>
      </c>
      <c r="L97" s="9">
        <v>26</v>
      </c>
      <c r="M97" s="9">
        <v>26</v>
      </c>
      <c r="N97" s="9">
        <v>14</v>
      </c>
      <c r="O97" s="9">
        <v>14</v>
      </c>
      <c r="P97" s="9">
        <v>28</v>
      </c>
      <c r="Q97" s="9">
        <v>28</v>
      </c>
      <c r="R97" s="9">
        <v>68</v>
      </c>
      <c r="S97" s="9">
        <v>68</v>
      </c>
      <c r="T97" s="10">
        <v>136</v>
      </c>
    </row>
    <row r="98" spans="11:20">
      <c r="K98" s="23" t="s">
        <v>61</v>
      </c>
      <c r="L98" s="9">
        <v>69</v>
      </c>
      <c r="M98" s="9">
        <v>69</v>
      </c>
      <c r="N98" s="9">
        <v>38</v>
      </c>
      <c r="O98" s="9">
        <v>38</v>
      </c>
      <c r="P98" s="9">
        <v>74</v>
      </c>
      <c r="Q98" s="9">
        <v>74</v>
      </c>
      <c r="R98" s="9">
        <v>181</v>
      </c>
      <c r="S98" s="9">
        <v>181</v>
      </c>
      <c r="T98" s="10">
        <v>362</v>
      </c>
    </row>
    <row r="99" spans="11:20">
      <c r="K99" s="23" t="s">
        <v>62</v>
      </c>
      <c r="L99" s="9">
        <v>60</v>
      </c>
      <c r="M99" s="9">
        <v>60</v>
      </c>
      <c r="N99" s="9">
        <v>33</v>
      </c>
      <c r="O99" s="9">
        <v>33</v>
      </c>
      <c r="P99" s="9">
        <v>65</v>
      </c>
      <c r="Q99" s="9">
        <v>65</v>
      </c>
      <c r="R99" s="9">
        <v>158</v>
      </c>
      <c r="S99" s="9">
        <v>158</v>
      </c>
      <c r="T99" s="10">
        <v>316</v>
      </c>
    </row>
    <row r="100" spans="11:20">
      <c r="K100" s="23" t="s">
        <v>63</v>
      </c>
      <c r="L100" s="9">
        <v>69</v>
      </c>
      <c r="M100" s="9">
        <v>69</v>
      </c>
      <c r="N100" s="9">
        <v>38</v>
      </c>
      <c r="O100" s="9">
        <v>38</v>
      </c>
      <c r="P100" s="9">
        <v>74</v>
      </c>
      <c r="Q100" s="9">
        <v>74</v>
      </c>
      <c r="R100" s="9">
        <v>181</v>
      </c>
      <c r="S100" s="9">
        <v>181</v>
      </c>
      <c r="T100" s="10">
        <v>362</v>
      </c>
    </row>
    <row r="101" spans="11:20">
      <c r="K101" s="23" t="s">
        <v>64</v>
      </c>
      <c r="L101" s="9">
        <v>77</v>
      </c>
      <c r="M101" s="9">
        <v>77</v>
      </c>
      <c r="N101" s="9">
        <v>42</v>
      </c>
      <c r="O101" s="9">
        <v>42</v>
      </c>
      <c r="P101" s="9">
        <v>84</v>
      </c>
      <c r="Q101" s="9">
        <v>84</v>
      </c>
      <c r="R101" s="9">
        <v>203</v>
      </c>
      <c r="S101" s="9">
        <v>203</v>
      </c>
      <c r="T101" s="10">
        <v>406</v>
      </c>
    </row>
    <row r="102" spans="11:20">
      <c r="K102" s="23" t="s">
        <v>65</v>
      </c>
      <c r="L102" s="9">
        <v>77</v>
      </c>
      <c r="M102" s="9">
        <v>77</v>
      </c>
      <c r="N102" s="9">
        <v>42</v>
      </c>
      <c r="O102" s="9">
        <v>42</v>
      </c>
      <c r="P102" s="9">
        <v>84</v>
      </c>
      <c r="Q102" s="9">
        <v>84</v>
      </c>
      <c r="R102" s="9">
        <v>203</v>
      </c>
      <c r="S102" s="9">
        <v>203</v>
      </c>
      <c r="T102" s="10">
        <v>406</v>
      </c>
    </row>
    <row r="103" spans="11:20">
      <c r="K103" s="23" t="s">
        <v>66</v>
      </c>
      <c r="L103" s="9">
        <v>43</v>
      </c>
      <c r="M103" s="9">
        <v>43</v>
      </c>
      <c r="N103" s="9">
        <v>24</v>
      </c>
      <c r="O103" s="9">
        <v>24</v>
      </c>
      <c r="P103" s="9">
        <v>47</v>
      </c>
      <c r="Q103" s="9">
        <v>47</v>
      </c>
      <c r="R103" s="9">
        <v>114</v>
      </c>
      <c r="S103" s="9">
        <v>114</v>
      </c>
      <c r="T103" s="10">
        <v>228</v>
      </c>
    </row>
    <row r="104" spans="11:20">
      <c r="K104" s="23" t="s">
        <v>67</v>
      </c>
      <c r="L104" s="9">
        <v>9</v>
      </c>
      <c r="M104" s="9">
        <v>9</v>
      </c>
      <c r="N104" s="9">
        <v>5</v>
      </c>
      <c r="O104" s="9">
        <v>5</v>
      </c>
      <c r="P104" s="9">
        <v>10</v>
      </c>
      <c r="Q104" s="9">
        <v>10</v>
      </c>
      <c r="R104" s="9">
        <v>24</v>
      </c>
      <c r="S104" s="9">
        <v>24</v>
      </c>
      <c r="T104" s="10">
        <v>48</v>
      </c>
    </row>
    <row r="105" spans="11:20">
      <c r="K105" s="23" t="s">
        <v>68</v>
      </c>
      <c r="L105" s="9">
        <v>1</v>
      </c>
      <c r="M105" s="9">
        <v>1</v>
      </c>
      <c r="N105" s="9">
        <v>1</v>
      </c>
      <c r="O105" s="9">
        <v>1</v>
      </c>
      <c r="P105" s="9">
        <v>1</v>
      </c>
      <c r="Q105" s="9">
        <v>1</v>
      </c>
      <c r="R105" s="9">
        <v>3</v>
      </c>
      <c r="S105" s="9">
        <v>3</v>
      </c>
      <c r="T105" s="10">
        <v>6</v>
      </c>
    </row>
    <row r="106" spans="11:20">
      <c r="K106" s="23" t="s">
        <v>42</v>
      </c>
      <c r="L106" s="9">
        <v>1</v>
      </c>
      <c r="M106" s="9">
        <v>1</v>
      </c>
      <c r="N106" s="9">
        <v>0</v>
      </c>
      <c r="O106" s="9">
        <v>0</v>
      </c>
      <c r="P106" s="9">
        <v>1</v>
      </c>
      <c r="Q106" s="9">
        <v>1</v>
      </c>
      <c r="R106" s="9">
        <v>2</v>
      </c>
      <c r="S106" s="9">
        <v>2</v>
      </c>
      <c r="T106" s="10">
        <v>4</v>
      </c>
    </row>
    <row r="107" spans="11:20" ht="17.5" thickBot="1">
      <c r="K107" s="24" t="s">
        <v>11</v>
      </c>
      <c r="L107" s="29">
        <v>738</v>
      </c>
      <c r="M107" s="29">
        <v>738</v>
      </c>
      <c r="N107" s="29">
        <v>404</v>
      </c>
      <c r="O107" s="29">
        <v>404</v>
      </c>
      <c r="P107" s="29">
        <v>800</v>
      </c>
      <c r="Q107" s="29">
        <v>800</v>
      </c>
      <c r="R107" s="30">
        <v>1942</v>
      </c>
      <c r="S107" s="30">
        <v>1942</v>
      </c>
      <c r="T107" s="31">
        <v>3884</v>
      </c>
    </row>
    <row r="108" spans="11:20" ht="17.5" thickTop="1"/>
  </sheetData>
  <mergeCells count="112">
    <mergeCell ref="K40:L40"/>
    <mergeCell ref="AF7:AG9"/>
    <mergeCell ref="AI7:AN7"/>
    <mergeCell ref="AI8:AK8"/>
    <mergeCell ref="AL8:AN8"/>
    <mergeCell ref="AF10:AG10"/>
    <mergeCell ref="AF11:AG11"/>
    <mergeCell ref="AF12:AG12"/>
    <mergeCell ref="AF13:AG13"/>
    <mergeCell ref="AF14:AG14"/>
    <mergeCell ref="AF15:AG15"/>
    <mergeCell ref="AF20:AG20"/>
    <mergeCell ref="AF21:AG21"/>
    <mergeCell ref="AF22:AG22"/>
    <mergeCell ref="S17:S18"/>
    <mergeCell ref="N25:S25"/>
    <mergeCell ref="N26:P26"/>
    <mergeCell ref="Q26:S26"/>
    <mergeCell ref="R89:T89"/>
    <mergeCell ref="K89:K90"/>
    <mergeCell ref="L89:M89"/>
    <mergeCell ref="N89:O89"/>
    <mergeCell ref="P89:Q89"/>
    <mergeCell ref="A38:B38"/>
    <mergeCell ref="A39:B39"/>
    <mergeCell ref="A40:B40"/>
    <mergeCell ref="A28:B28"/>
    <mergeCell ref="A29:B29"/>
    <mergeCell ref="A30:B30"/>
    <mergeCell ref="A31:B31"/>
    <mergeCell ref="A32:B32"/>
    <mergeCell ref="A33:B33"/>
    <mergeCell ref="E44:I45"/>
    <mergeCell ref="O44:R45"/>
    <mergeCell ref="K28:L28"/>
    <mergeCell ref="K29:L29"/>
    <mergeCell ref="K30:L30"/>
    <mergeCell ref="K31:L31"/>
    <mergeCell ref="K32:L32"/>
    <mergeCell ref="K33:L33"/>
    <mergeCell ref="K38:L38"/>
    <mergeCell ref="K39:L39"/>
    <mergeCell ref="A20:B20"/>
    <mergeCell ref="A21:B21"/>
    <mergeCell ref="A25:B27"/>
    <mergeCell ref="D25:I25"/>
    <mergeCell ref="D26:F26"/>
    <mergeCell ref="G26:I26"/>
    <mergeCell ref="S6:T6"/>
    <mergeCell ref="S7:S10"/>
    <mergeCell ref="S11:S12"/>
    <mergeCell ref="S13:S14"/>
    <mergeCell ref="A19:B19"/>
    <mergeCell ref="A6:B8"/>
    <mergeCell ref="D6:E6"/>
    <mergeCell ref="D7:E7"/>
    <mergeCell ref="F6:H6"/>
    <mergeCell ref="F7:H7"/>
    <mergeCell ref="A9:B9"/>
    <mergeCell ref="A10:B10"/>
    <mergeCell ref="A11:B11"/>
    <mergeCell ref="A12:B12"/>
    <mergeCell ref="A13:B13"/>
    <mergeCell ref="A14:B14"/>
    <mergeCell ref="K25:L27"/>
    <mergeCell ref="S15:S16"/>
    <mergeCell ref="B52:C53"/>
    <mergeCell ref="B43:C43"/>
    <mergeCell ref="B54:C55"/>
    <mergeCell ref="B46:C47"/>
    <mergeCell ref="B44:C45"/>
    <mergeCell ref="B48:C49"/>
    <mergeCell ref="B50:C51"/>
    <mergeCell ref="L64:M65"/>
    <mergeCell ref="B62:C63"/>
    <mergeCell ref="B64:C65"/>
    <mergeCell ref="C58:C59"/>
    <mergeCell ref="C56:C57"/>
    <mergeCell ref="C60:C61"/>
    <mergeCell ref="B56:B61"/>
    <mergeCell ref="L43:M43"/>
    <mergeCell ref="L44:M45"/>
    <mergeCell ref="L46:M47"/>
    <mergeCell ref="L48:M49"/>
    <mergeCell ref="L50:M51"/>
    <mergeCell ref="L52:M53"/>
    <mergeCell ref="L54:M55"/>
    <mergeCell ref="L56:L61"/>
    <mergeCell ref="M56:M57"/>
    <mergeCell ref="M58:M59"/>
    <mergeCell ref="M60:M61"/>
    <mergeCell ref="C83:D83"/>
    <mergeCell ref="C84:D84"/>
    <mergeCell ref="C85:D85"/>
    <mergeCell ref="C72:D72"/>
    <mergeCell ref="M72:N72"/>
    <mergeCell ref="M73:N73"/>
    <mergeCell ref="M74:N74"/>
    <mergeCell ref="M75:N75"/>
    <mergeCell ref="M76:N76"/>
    <mergeCell ref="M77:N77"/>
    <mergeCell ref="M83:N83"/>
    <mergeCell ref="M84:N84"/>
    <mergeCell ref="M78:N78"/>
    <mergeCell ref="M85:N85"/>
    <mergeCell ref="C74:D74"/>
    <mergeCell ref="C75:D75"/>
    <mergeCell ref="C76:D76"/>
    <mergeCell ref="C77:D77"/>
    <mergeCell ref="C78:D78"/>
    <mergeCell ref="C73:D73"/>
    <mergeCell ref="L62:M6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109"/>
  <sheetViews>
    <sheetView zoomScale="85" zoomScaleNormal="85" workbookViewId="0">
      <selection activeCell="AA46" sqref="AA46"/>
    </sheetView>
  </sheetViews>
  <sheetFormatPr defaultRowHeight="17"/>
  <cols>
    <col min="20" max="20" width="11.5" customWidth="1"/>
  </cols>
  <sheetData>
    <row r="1" spans="1:8">
      <c r="A1" t="s">
        <v>154</v>
      </c>
    </row>
    <row r="2" spans="1:8">
      <c r="A2" t="s">
        <v>153</v>
      </c>
      <c r="B2" t="s">
        <v>152</v>
      </c>
    </row>
    <row r="4" spans="1:8">
      <c r="B4" t="s">
        <v>192</v>
      </c>
      <c r="G4" t="s">
        <v>194</v>
      </c>
    </row>
    <row r="5" spans="1:8" ht="17.5" thickBot="1">
      <c r="B5" t="s">
        <v>172</v>
      </c>
      <c r="G5" t="s">
        <v>193</v>
      </c>
    </row>
    <row r="6" spans="1:8" ht="17.5" thickTop="1">
      <c r="B6" s="558" t="s">
        <v>39</v>
      </c>
      <c r="C6" s="559"/>
      <c r="D6" s="562" t="s">
        <v>163</v>
      </c>
      <c r="E6" s="563"/>
      <c r="G6" s="32" t="s">
        <v>189</v>
      </c>
    </row>
    <row r="7" spans="1:8" ht="17.5" thickBot="1">
      <c r="B7" s="560"/>
      <c r="C7" s="561"/>
      <c r="D7" s="36" t="s">
        <v>156</v>
      </c>
      <c r="E7" s="37" t="s">
        <v>157</v>
      </c>
      <c r="H7" t="s">
        <v>191</v>
      </c>
    </row>
    <row r="8" spans="1:8" ht="17.5" thickTop="1">
      <c r="B8" s="564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</row>
    <row r="9" spans="1:8">
      <c r="B9" s="565"/>
      <c r="C9" s="46" t="s">
        <v>166</v>
      </c>
      <c r="D9" s="46">
        <v>1.59</v>
      </c>
      <c r="E9" s="47">
        <v>1.7</v>
      </c>
    </row>
    <row r="10" spans="1:8">
      <c r="B10" s="566" t="s">
        <v>13</v>
      </c>
      <c r="C10" s="46" t="s">
        <v>9</v>
      </c>
      <c r="D10" s="46">
        <v>1.38</v>
      </c>
      <c r="E10" s="47">
        <v>1.48</v>
      </c>
    </row>
    <row r="11" spans="1:8">
      <c r="B11" s="565"/>
      <c r="C11" s="46" t="s">
        <v>10</v>
      </c>
      <c r="D11" s="46">
        <v>1.6</v>
      </c>
      <c r="E11" s="47">
        <v>1.56</v>
      </c>
    </row>
    <row r="12" spans="1:8">
      <c r="B12" s="566" t="s">
        <v>167</v>
      </c>
      <c r="C12" s="46" t="s">
        <v>9</v>
      </c>
      <c r="D12" s="46">
        <v>1.25</v>
      </c>
      <c r="E12" s="47">
        <v>1.25</v>
      </c>
    </row>
    <row r="13" spans="1:8">
      <c r="B13" s="565"/>
      <c r="C13" s="46" t="s">
        <v>10</v>
      </c>
      <c r="D13" s="46">
        <v>1.47</v>
      </c>
      <c r="E13" s="47">
        <v>1.73</v>
      </c>
    </row>
    <row r="14" spans="1:8">
      <c r="B14" s="566" t="s">
        <v>168</v>
      </c>
      <c r="C14" s="46" t="s">
        <v>9</v>
      </c>
      <c r="D14" s="46">
        <v>1.35</v>
      </c>
      <c r="E14" s="47">
        <v>1.4</v>
      </c>
    </row>
    <row r="15" spans="1:8">
      <c r="B15" s="565"/>
      <c r="C15" s="46" t="s">
        <v>10</v>
      </c>
      <c r="D15" s="46">
        <v>1.6</v>
      </c>
      <c r="E15" s="47">
        <v>1.73</v>
      </c>
    </row>
    <row r="16" spans="1:8">
      <c r="B16" s="566" t="s">
        <v>47</v>
      </c>
      <c r="C16" s="46" t="s">
        <v>9</v>
      </c>
      <c r="D16" s="46">
        <v>1.33</v>
      </c>
      <c r="E16" s="47">
        <v>1.55</v>
      </c>
    </row>
    <row r="17" spans="1:29">
      <c r="B17" s="565"/>
      <c r="C17" s="46" t="s">
        <v>10</v>
      </c>
      <c r="D17" s="46">
        <v>1.43</v>
      </c>
      <c r="E17" s="47">
        <v>1.54</v>
      </c>
    </row>
    <row r="18" spans="1:29">
      <c r="B18" s="566" t="s">
        <v>169</v>
      </c>
      <c r="C18" s="46" t="s">
        <v>9</v>
      </c>
      <c r="D18" s="46">
        <v>1.33</v>
      </c>
      <c r="E18" s="47">
        <v>1.55</v>
      </c>
    </row>
    <row r="19" spans="1:29">
      <c r="B19" s="565"/>
      <c r="C19" s="46" t="s">
        <v>10</v>
      </c>
      <c r="D19" s="46">
        <v>1.43</v>
      </c>
      <c r="E19" s="47">
        <v>1.54</v>
      </c>
    </row>
    <row r="20" spans="1:29">
      <c r="B20" s="566" t="s">
        <v>170</v>
      </c>
      <c r="C20" s="46" t="s">
        <v>9</v>
      </c>
      <c r="D20" s="46">
        <v>1.33</v>
      </c>
      <c r="E20" s="47">
        <v>1.55</v>
      </c>
    </row>
    <row r="21" spans="1:29">
      <c r="B21" s="565"/>
      <c r="C21" s="46" t="s">
        <v>10</v>
      </c>
      <c r="D21" s="46">
        <v>1.43</v>
      </c>
      <c r="E21" s="47">
        <v>1.54</v>
      </c>
    </row>
    <row r="22" spans="1:29">
      <c r="B22" s="566" t="s">
        <v>171</v>
      </c>
      <c r="C22" s="46" t="s">
        <v>9</v>
      </c>
      <c r="D22" s="46">
        <v>1.27</v>
      </c>
      <c r="E22" s="47">
        <v>1.35</v>
      </c>
      <c r="U22" s="34"/>
      <c r="V22" t="s">
        <v>233</v>
      </c>
    </row>
    <row r="23" spans="1:29" ht="17.5" thickBot="1">
      <c r="B23" s="572"/>
      <c r="C23" s="48" t="s">
        <v>10</v>
      </c>
      <c r="D23" s="48">
        <v>1.27</v>
      </c>
      <c r="E23" s="49">
        <v>1.35</v>
      </c>
    </row>
    <row r="24" spans="1:29" ht="17.5" thickTop="1">
      <c r="A24" t="s">
        <v>214</v>
      </c>
      <c r="B24" s="56"/>
      <c r="C24" s="56"/>
      <c r="D24" s="56"/>
      <c r="E24" s="56"/>
      <c r="P24" t="s">
        <v>213</v>
      </c>
    </row>
    <row r="25" spans="1:29">
      <c r="A25" t="s">
        <v>195</v>
      </c>
      <c r="L25" s="64" t="s">
        <v>196</v>
      </c>
      <c r="O25" t="s">
        <v>215</v>
      </c>
      <c r="P25" t="s">
        <v>212</v>
      </c>
    </row>
    <row r="26" spans="1:29">
      <c r="AA26" t="s">
        <v>216</v>
      </c>
      <c r="AB26" t="s">
        <v>148</v>
      </c>
      <c r="AC26" s="32" t="s">
        <v>74</v>
      </c>
    </row>
    <row r="27" spans="1:29">
      <c r="C27" s="555" t="s">
        <v>156</v>
      </c>
      <c r="D27" s="556"/>
      <c r="E27" s="555" t="s">
        <v>157</v>
      </c>
      <c r="F27" s="556"/>
      <c r="G27" s="555" t="s">
        <v>158</v>
      </c>
      <c r="H27" s="556"/>
      <c r="I27" s="555" t="s">
        <v>159</v>
      </c>
      <c r="J27" s="556"/>
      <c r="K27" s="555" t="s">
        <v>160</v>
      </c>
      <c r="L27" s="557"/>
      <c r="M27" s="557"/>
      <c r="P27" s="654" t="s">
        <v>156</v>
      </c>
      <c r="Q27" s="654"/>
      <c r="R27" s="654" t="s">
        <v>174</v>
      </c>
      <c r="S27" s="654"/>
      <c r="T27" s="555" t="s">
        <v>158</v>
      </c>
      <c r="U27" s="556"/>
      <c r="V27" s="654" t="s">
        <v>160</v>
      </c>
      <c r="W27" s="654"/>
      <c r="X27" s="654"/>
      <c r="AA27" t="s">
        <v>202</v>
      </c>
      <c r="AB27" t="s">
        <v>73</v>
      </c>
      <c r="AC27" s="75">
        <v>14267.0414</v>
      </c>
    </row>
    <row r="28" spans="1:29">
      <c r="A28" t="s">
        <v>34</v>
      </c>
      <c r="B28" t="s">
        <v>148</v>
      </c>
      <c r="C28" s="66" t="s">
        <v>40</v>
      </c>
      <c r="D28" s="66" t="s">
        <v>41</v>
      </c>
      <c r="E28" s="66" t="s">
        <v>40</v>
      </c>
      <c r="F28" s="66" t="s">
        <v>41</v>
      </c>
      <c r="G28" s="66" t="s">
        <v>40</v>
      </c>
      <c r="H28" s="66" t="s">
        <v>41</v>
      </c>
      <c r="I28" s="66" t="s">
        <v>40</v>
      </c>
      <c r="J28" s="66" t="s">
        <v>41</v>
      </c>
      <c r="K28" s="66" t="s">
        <v>40</v>
      </c>
      <c r="L28" s="66" t="s">
        <v>41</v>
      </c>
      <c r="M28" s="67" t="s">
        <v>21</v>
      </c>
      <c r="P28" s="73" t="s">
        <v>40</v>
      </c>
      <c r="Q28" s="73" t="s">
        <v>41</v>
      </c>
      <c r="R28" s="73" t="s">
        <v>40</v>
      </c>
      <c r="S28" s="73" t="s">
        <v>41</v>
      </c>
      <c r="T28" s="66" t="s">
        <v>40</v>
      </c>
      <c r="U28" s="66" t="s">
        <v>41</v>
      </c>
      <c r="V28" s="73" t="s">
        <v>40</v>
      </c>
      <c r="W28" s="73" t="s">
        <v>41</v>
      </c>
      <c r="X28" s="73" t="s">
        <v>21</v>
      </c>
      <c r="AA28" t="s">
        <v>202</v>
      </c>
      <c r="AB28" t="s">
        <v>217</v>
      </c>
      <c r="AC28" s="75">
        <v>15857.7047</v>
      </c>
    </row>
    <row r="29" spans="1:29">
      <c r="A29" t="s">
        <v>197</v>
      </c>
      <c r="B29" t="s">
        <v>198</v>
      </c>
      <c r="C29" s="70">
        <v>998</v>
      </c>
      <c r="D29" s="70">
        <v>998</v>
      </c>
      <c r="E29" s="70">
        <v>222</v>
      </c>
      <c r="F29" s="70">
        <v>222</v>
      </c>
      <c r="G29" s="71">
        <v>1429</v>
      </c>
      <c r="H29" s="71">
        <v>1429</v>
      </c>
      <c r="I29" s="70">
        <v>870</v>
      </c>
      <c r="J29" s="70">
        <v>870</v>
      </c>
      <c r="K29" s="71">
        <v>3519</v>
      </c>
      <c r="L29" s="71">
        <v>3519</v>
      </c>
      <c r="M29" s="71">
        <v>7038</v>
      </c>
      <c r="P29" s="69">
        <v>629</v>
      </c>
      <c r="Q29" s="69">
        <v>629</v>
      </c>
      <c r="R29" s="69">
        <v>178</v>
      </c>
      <c r="S29" s="69">
        <v>178</v>
      </c>
      <c r="T29" s="74">
        <f>G29/$H$8</f>
        <v>123.40241796200345</v>
      </c>
      <c r="U29" s="74">
        <f t="shared" ref="U29:U33" si="0">H29/$H$8</f>
        <v>123.40241796200345</v>
      </c>
      <c r="V29" s="69">
        <v>807</v>
      </c>
      <c r="W29" s="69">
        <v>807</v>
      </c>
      <c r="X29" s="68">
        <v>1614</v>
      </c>
      <c r="AA29" t="s">
        <v>218</v>
      </c>
      <c r="AB29" t="s">
        <v>75</v>
      </c>
      <c r="AC29" s="75">
        <v>38657.855799999998</v>
      </c>
    </row>
    <row r="30" spans="1:29">
      <c r="A30" s="56" t="s">
        <v>197</v>
      </c>
      <c r="B30" s="20" t="s">
        <v>199</v>
      </c>
      <c r="C30" s="70">
        <v>992</v>
      </c>
      <c r="D30" s="70">
        <v>992</v>
      </c>
      <c r="E30" s="70">
        <v>221</v>
      </c>
      <c r="F30" s="70">
        <v>221</v>
      </c>
      <c r="G30" s="71">
        <v>1420</v>
      </c>
      <c r="H30" s="71">
        <v>1420</v>
      </c>
      <c r="I30" s="70">
        <v>865</v>
      </c>
      <c r="J30" s="70">
        <v>865</v>
      </c>
      <c r="K30" s="71">
        <v>3498</v>
      </c>
      <c r="L30" s="71">
        <v>3498</v>
      </c>
      <c r="M30" s="71">
        <v>6996</v>
      </c>
      <c r="P30" s="69">
        <v>624</v>
      </c>
      <c r="Q30" s="69">
        <v>624</v>
      </c>
      <c r="R30" s="69">
        <v>177</v>
      </c>
      <c r="S30" s="69">
        <v>177</v>
      </c>
      <c r="T30" s="74">
        <f t="shared" ref="T30:T33" si="1">G30/$H$8</f>
        <v>122.6252158894646</v>
      </c>
      <c r="U30" s="74">
        <f t="shared" si="0"/>
        <v>122.6252158894646</v>
      </c>
      <c r="V30" s="69">
        <v>801</v>
      </c>
      <c r="W30" s="69">
        <v>801</v>
      </c>
      <c r="X30" s="68">
        <v>1602</v>
      </c>
      <c r="AA30" t="s">
        <v>219</v>
      </c>
      <c r="AB30" t="s">
        <v>76</v>
      </c>
      <c r="AC30" s="75">
        <v>38408.5</v>
      </c>
    </row>
    <row r="31" spans="1:29">
      <c r="A31" t="s">
        <v>197</v>
      </c>
      <c r="B31" t="s">
        <v>200</v>
      </c>
      <c r="C31" s="70">
        <v>813</v>
      </c>
      <c r="D31" s="70">
        <v>813</v>
      </c>
      <c r="E31" s="70">
        <v>181</v>
      </c>
      <c r="F31" s="70">
        <v>181</v>
      </c>
      <c r="G31" s="71">
        <v>1164</v>
      </c>
      <c r="H31" s="71">
        <v>1164</v>
      </c>
      <c r="I31" s="70">
        <v>708</v>
      </c>
      <c r="J31" s="70">
        <v>708</v>
      </c>
      <c r="K31" s="71">
        <v>2866</v>
      </c>
      <c r="L31" s="71">
        <v>2866</v>
      </c>
      <c r="M31" s="71">
        <v>5732</v>
      </c>
      <c r="P31" s="69">
        <v>512</v>
      </c>
      <c r="Q31" s="69">
        <v>512</v>
      </c>
      <c r="R31" s="69">
        <v>144</v>
      </c>
      <c r="S31" s="69">
        <v>144</v>
      </c>
      <c r="T31" s="74">
        <f t="shared" si="1"/>
        <v>100.51813471502591</v>
      </c>
      <c r="U31" s="74">
        <f t="shared" si="0"/>
        <v>100.51813471502591</v>
      </c>
      <c r="V31" s="69">
        <v>656</v>
      </c>
      <c r="W31" s="69">
        <v>656</v>
      </c>
      <c r="X31" s="68">
        <v>1312</v>
      </c>
      <c r="AA31" t="s">
        <v>219</v>
      </c>
      <c r="AB31" t="s">
        <v>220</v>
      </c>
      <c r="AC31" s="75">
        <v>31514.0893</v>
      </c>
    </row>
    <row r="32" spans="1:29">
      <c r="A32" t="s">
        <v>197</v>
      </c>
      <c r="B32" t="s">
        <v>201</v>
      </c>
      <c r="C32" s="69">
        <v>829</v>
      </c>
      <c r="D32" s="69">
        <v>829</v>
      </c>
      <c r="E32" s="69">
        <v>185</v>
      </c>
      <c r="F32" s="69">
        <v>185</v>
      </c>
      <c r="G32" s="68">
        <v>1187</v>
      </c>
      <c r="H32" s="68">
        <v>1187</v>
      </c>
      <c r="I32" s="69">
        <v>722</v>
      </c>
      <c r="J32" s="69">
        <v>722</v>
      </c>
      <c r="K32" s="68">
        <v>2923</v>
      </c>
      <c r="L32" s="68">
        <v>2923</v>
      </c>
      <c r="M32" s="68">
        <v>5846</v>
      </c>
      <c r="P32" s="69">
        <v>521</v>
      </c>
      <c r="Q32" s="69">
        <v>521</v>
      </c>
      <c r="R32" s="69">
        <v>149</v>
      </c>
      <c r="S32" s="69">
        <v>149</v>
      </c>
      <c r="T32" s="74">
        <f t="shared" si="1"/>
        <v>102.50431778929187</v>
      </c>
      <c r="U32" s="74">
        <f t="shared" si="0"/>
        <v>102.50431778929187</v>
      </c>
      <c r="V32" s="69">
        <v>670</v>
      </c>
      <c r="W32" s="69">
        <v>670</v>
      </c>
      <c r="X32" s="68">
        <v>1340</v>
      </c>
      <c r="AA32" t="s">
        <v>219</v>
      </c>
      <c r="AB32" t="s">
        <v>221</v>
      </c>
      <c r="AC32" s="75">
        <v>32098.9882</v>
      </c>
    </row>
    <row r="33" spans="1:40">
      <c r="A33" t="s">
        <v>202</v>
      </c>
      <c r="C33" s="69">
        <v>104</v>
      </c>
      <c r="D33" s="69">
        <v>104</v>
      </c>
      <c r="E33" s="69">
        <v>22</v>
      </c>
      <c r="F33" s="69">
        <v>22</v>
      </c>
      <c r="G33" s="69">
        <v>146</v>
      </c>
      <c r="H33" s="69">
        <v>146</v>
      </c>
      <c r="I33" s="69">
        <v>90</v>
      </c>
      <c r="J33" s="69">
        <v>90</v>
      </c>
      <c r="K33" s="69">
        <v>362</v>
      </c>
      <c r="L33" s="69">
        <v>362</v>
      </c>
      <c r="M33" s="69">
        <v>724</v>
      </c>
      <c r="P33" s="69">
        <v>64</v>
      </c>
      <c r="Q33" s="69">
        <v>64</v>
      </c>
      <c r="R33" s="69">
        <v>18</v>
      </c>
      <c r="S33" s="69">
        <v>18</v>
      </c>
      <c r="T33" s="74">
        <f t="shared" si="1"/>
        <v>12.607944732297064</v>
      </c>
      <c r="U33" s="74">
        <f t="shared" si="0"/>
        <v>12.607944732297064</v>
      </c>
      <c r="V33" s="69">
        <v>82</v>
      </c>
      <c r="W33" s="69">
        <v>82</v>
      </c>
      <c r="X33" s="69">
        <v>164</v>
      </c>
      <c r="AA33" t="s">
        <v>207</v>
      </c>
      <c r="AB33" t="s">
        <v>222</v>
      </c>
      <c r="AC33" s="75">
        <v>63163.374600000003</v>
      </c>
    </row>
    <row r="34" spans="1:40">
      <c r="AA34" t="s">
        <v>207</v>
      </c>
      <c r="AB34" t="s">
        <v>79</v>
      </c>
      <c r="AC34" s="75">
        <v>36231.236499999999</v>
      </c>
    </row>
    <row r="35" spans="1:40">
      <c r="A35" t="s">
        <v>203</v>
      </c>
      <c r="L35" s="65" t="s">
        <v>204</v>
      </c>
      <c r="AA35" t="s">
        <v>207</v>
      </c>
      <c r="AB35" t="s">
        <v>223</v>
      </c>
      <c r="AC35" s="75">
        <v>69072.016600000003</v>
      </c>
    </row>
    <row r="36" spans="1:40">
      <c r="C36" s="555" t="s">
        <v>156</v>
      </c>
      <c r="D36" s="556"/>
      <c r="E36" s="555" t="s">
        <v>157</v>
      </c>
      <c r="F36" s="556"/>
      <c r="G36" s="555" t="s">
        <v>158</v>
      </c>
      <c r="H36" s="556"/>
      <c r="I36" s="555" t="s">
        <v>159</v>
      </c>
      <c r="J36" s="556"/>
      <c r="K36" s="555" t="s">
        <v>160</v>
      </c>
      <c r="L36" s="557"/>
      <c r="M36" s="557"/>
      <c r="P36" s="531" t="s">
        <v>156</v>
      </c>
      <c r="Q36" s="531"/>
      <c r="R36" s="531" t="s">
        <v>174</v>
      </c>
      <c r="S36" s="531"/>
      <c r="T36" s="555" t="s">
        <v>158</v>
      </c>
      <c r="U36" s="556"/>
      <c r="V36" s="531" t="s">
        <v>160</v>
      </c>
      <c r="W36" s="531"/>
      <c r="X36" s="531"/>
      <c r="AA36" t="s">
        <v>224</v>
      </c>
      <c r="AB36" t="s">
        <v>85</v>
      </c>
      <c r="AC36" s="75">
        <v>4861.8494000000001</v>
      </c>
    </row>
    <row r="37" spans="1:40">
      <c r="A37" t="s">
        <v>205</v>
      </c>
      <c r="C37" s="66" t="s">
        <v>40</v>
      </c>
      <c r="D37" s="66" t="s">
        <v>41</v>
      </c>
      <c r="E37" s="66" t="s">
        <v>40</v>
      </c>
      <c r="F37" s="66" t="s">
        <v>41</v>
      </c>
      <c r="G37" s="66" t="s">
        <v>40</v>
      </c>
      <c r="H37" s="66" t="s">
        <v>41</v>
      </c>
      <c r="I37" s="66" t="s">
        <v>40</v>
      </c>
      <c r="J37" s="66" t="s">
        <v>41</v>
      </c>
      <c r="K37" s="66" t="s">
        <v>40</v>
      </c>
      <c r="L37" s="66" t="s">
        <v>41</v>
      </c>
      <c r="M37" s="67" t="s">
        <v>21</v>
      </c>
      <c r="P37" s="72" t="s">
        <v>40</v>
      </c>
      <c r="Q37" s="72" t="s">
        <v>41</v>
      </c>
      <c r="R37" s="72" t="s">
        <v>40</v>
      </c>
      <c r="S37" s="72" t="s">
        <v>41</v>
      </c>
      <c r="T37" s="66" t="s">
        <v>40</v>
      </c>
      <c r="U37" s="66" t="s">
        <v>41</v>
      </c>
      <c r="V37" s="72" t="s">
        <v>40</v>
      </c>
      <c r="W37" s="72" t="s">
        <v>41</v>
      </c>
      <c r="X37" s="72" t="s">
        <v>21</v>
      </c>
      <c r="AA37" t="s">
        <v>224</v>
      </c>
      <c r="AB37" t="s">
        <v>81</v>
      </c>
      <c r="AC37" s="75">
        <v>2430.8498</v>
      </c>
    </row>
    <row r="38" spans="1:40">
      <c r="A38" t="s">
        <v>136</v>
      </c>
      <c r="C38" s="68">
        <v>1113</v>
      </c>
      <c r="D38" s="68">
        <v>1113</v>
      </c>
      <c r="E38" s="69">
        <v>149</v>
      </c>
      <c r="F38" s="69">
        <v>149</v>
      </c>
      <c r="G38" s="69">
        <v>902</v>
      </c>
      <c r="H38" s="69">
        <v>902</v>
      </c>
      <c r="I38" s="68">
        <v>1831</v>
      </c>
      <c r="J38" s="68">
        <v>1831</v>
      </c>
      <c r="K38" s="68">
        <v>3995</v>
      </c>
      <c r="L38" s="68">
        <v>3995</v>
      </c>
      <c r="M38" s="68">
        <v>7990</v>
      </c>
      <c r="P38" s="69">
        <v>704</v>
      </c>
      <c r="Q38" s="69">
        <v>704</v>
      </c>
      <c r="R38" s="69">
        <v>105</v>
      </c>
      <c r="S38" s="69">
        <v>105</v>
      </c>
      <c r="T38" s="74">
        <f t="shared" ref="T38:T44" si="2">G38/$H$8</f>
        <v>77.89291882556131</v>
      </c>
      <c r="U38" s="74">
        <f t="shared" ref="U38:U44" si="3">H38/$H$8</f>
        <v>77.89291882556131</v>
      </c>
      <c r="V38" s="69">
        <v>809</v>
      </c>
      <c r="W38" s="69">
        <v>809</v>
      </c>
      <c r="X38" s="68">
        <v>1618</v>
      </c>
      <c r="AA38" t="s">
        <v>224</v>
      </c>
      <c r="AB38" t="s">
        <v>82</v>
      </c>
      <c r="AC38" s="75">
        <v>2252.9902000000002</v>
      </c>
    </row>
    <row r="39" spans="1:40">
      <c r="A39" t="s">
        <v>206</v>
      </c>
      <c r="C39" s="68">
        <v>3252</v>
      </c>
      <c r="D39" s="68">
        <v>3252</v>
      </c>
      <c r="E39" s="69">
        <v>634</v>
      </c>
      <c r="F39" s="69">
        <v>634</v>
      </c>
      <c r="G39" s="68">
        <v>4005</v>
      </c>
      <c r="H39" s="68">
        <v>4005</v>
      </c>
      <c r="I39" s="68">
        <v>1525</v>
      </c>
      <c r="J39" s="68">
        <v>1525</v>
      </c>
      <c r="K39" s="68">
        <v>9416</v>
      </c>
      <c r="L39" s="68">
        <v>9416</v>
      </c>
      <c r="M39" s="68">
        <v>18832</v>
      </c>
      <c r="P39" s="68">
        <v>2258</v>
      </c>
      <c r="Q39" s="68">
        <v>2258</v>
      </c>
      <c r="R39" s="69">
        <v>459</v>
      </c>
      <c r="S39" s="69">
        <v>459</v>
      </c>
      <c r="T39" s="74">
        <f t="shared" si="2"/>
        <v>345.85492227979273</v>
      </c>
      <c r="U39" s="74">
        <f t="shared" si="3"/>
        <v>345.85492227979273</v>
      </c>
      <c r="V39" s="68">
        <v>2717</v>
      </c>
      <c r="W39" s="68">
        <v>2717</v>
      </c>
      <c r="X39" s="68">
        <v>5434</v>
      </c>
      <c r="AA39" t="s">
        <v>228</v>
      </c>
      <c r="AB39" t="s">
        <v>225</v>
      </c>
      <c r="AC39" s="75">
        <v>5756.5210999999999</v>
      </c>
    </row>
    <row r="40" spans="1:40">
      <c r="A40" t="s">
        <v>207</v>
      </c>
      <c r="C40" s="68">
        <v>4405</v>
      </c>
      <c r="D40" s="68">
        <v>4405</v>
      </c>
      <c r="E40" s="69">
        <v>982</v>
      </c>
      <c r="F40" s="69">
        <v>982</v>
      </c>
      <c r="G40" s="68">
        <v>7338</v>
      </c>
      <c r="H40" s="68">
        <v>7338</v>
      </c>
      <c r="I40" s="68">
        <v>1053</v>
      </c>
      <c r="J40" s="68">
        <v>1053</v>
      </c>
      <c r="K40" s="68">
        <v>13778</v>
      </c>
      <c r="L40" s="68">
        <v>13778</v>
      </c>
      <c r="M40" s="68">
        <v>27556</v>
      </c>
      <c r="P40" s="68">
        <v>2942</v>
      </c>
      <c r="Q40" s="68">
        <v>2942</v>
      </c>
      <c r="R40" s="69">
        <v>905</v>
      </c>
      <c r="S40" s="69">
        <v>905</v>
      </c>
      <c r="T40" s="74">
        <f t="shared" si="2"/>
        <v>633.67875647668393</v>
      </c>
      <c r="U40" s="74">
        <f t="shared" si="3"/>
        <v>633.67875647668393</v>
      </c>
      <c r="V40" s="68">
        <v>3847</v>
      </c>
      <c r="W40" s="68">
        <v>3847</v>
      </c>
      <c r="X40" s="68">
        <v>7694</v>
      </c>
      <c r="AA40" t="s">
        <v>228</v>
      </c>
      <c r="AB40" t="s">
        <v>226</v>
      </c>
      <c r="AC40" s="75">
        <v>5584.9350000000004</v>
      </c>
    </row>
    <row r="41" spans="1:40">
      <c r="A41" t="s">
        <v>208</v>
      </c>
      <c r="C41" s="68">
        <v>1194</v>
      </c>
      <c r="D41" s="68">
        <v>1194</v>
      </c>
      <c r="E41" s="69">
        <v>324</v>
      </c>
      <c r="F41" s="69">
        <v>324</v>
      </c>
      <c r="G41" s="68">
        <v>1204</v>
      </c>
      <c r="H41" s="68">
        <v>1204</v>
      </c>
      <c r="I41" s="69">
        <v>676</v>
      </c>
      <c r="J41" s="69">
        <v>676</v>
      </c>
      <c r="K41" s="68">
        <v>3398</v>
      </c>
      <c r="L41" s="68">
        <v>3398</v>
      </c>
      <c r="M41" s="68">
        <v>6796</v>
      </c>
      <c r="P41" s="69">
        <v>852</v>
      </c>
      <c r="Q41" s="69">
        <v>852</v>
      </c>
      <c r="R41" s="69">
        <v>278</v>
      </c>
      <c r="S41" s="69">
        <v>278</v>
      </c>
      <c r="T41" s="74">
        <f t="shared" si="2"/>
        <v>103.97236614853195</v>
      </c>
      <c r="U41" s="74">
        <f t="shared" si="3"/>
        <v>103.97236614853195</v>
      </c>
      <c r="V41" s="68">
        <v>1130</v>
      </c>
      <c r="W41" s="68">
        <v>1130</v>
      </c>
      <c r="X41" s="68">
        <v>2260</v>
      </c>
      <c r="AA41" t="s">
        <v>228</v>
      </c>
      <c r="AB41" t="s">
        <v>227</v>
      </c>
      <c r="AC41" s="75">
        <v>5424.4053999999996</v>
      </c>
      <c r="AK41" s="437" t="s">
        <v>279</v>
      </c>
      <c r="AL41" s="437"/>
      <c r="AM41" s="437"/>
      <c r="AN41" s="437"/>
    </row>
    <row r="42" spans="1:40">
      <c r="A42" t="s">
        <v>209</v>
      </c>
      <c r="C42" s="68">
        <v>2353</v>
      </c>
      <c r="D42" s="68">
        <v>2353</v>
      </c>
      <c r="E42" s="69">
        <v>560</v>
      </c>
      <c r="F42" s="69">
        <v>560</v>
      </c>
      <c r="G42" s="68">
        <v>2525</v>
      </c>
      <c r="H42" s="68">
        <v>2525</v>
      </c>
      <c r="I42" s="68">
        <v>2539</v>
      </c>
      <c r="J42" s="68">
        <v>2539</v>
      </c>
      <c r="K42" s="68">
        <v>7977</v>
      </c>
      <c r="L42" s="68">
        <v>7977</v>
      </c>
      <c r="M42" s="68">
        <v>15954</v>
      </c>
      <c r="P42" s="68">
        <v>1671</v>
      </c>
      <c r="Q42" s="68">
        <v>1671</v>
      </c>
      <c r="R42" s="69">
        <v>452</v>
      </c>
      <c r="S42" s="69">
        <v>452</v>
      </c>
      <c r="T42" s="74">
        <f t="shared" si="2"/>
        <v>218.04835924006909</v>
      </c>
      <c r="U42" s="74">
        <f t="shared" si="3"/>
        <v>218.04835924006909</v>
      </c>
      <c r="V42" s="68">
        <v>2123</v>
      </c>
      <c r="W42" s="68">
        <v>2123</v>
      </c>
      <c r="X42" s="68">
        <v>4246</v>
      </c>
      <c r="AA42" t="s">
        <v>229</v>
      </c>
      <c r="AB42" t="s">
        <v>102</v>
      </c>
      <c r="AC42" s="75">
        <v>28051.338899999999</v>
      </c>
      <c r="AK42" t="s">
        <v>280</v>
      </c>
      <c r="AL42" t="s">
        <v>281</v>
      </c>
      <c r="AM42" t="s">
        <v>282</v>
      </c>
      <c r="AN42" t="s">
        <v>283</v>
      </c>
    </row>
    <row r="43" spans="1:40">
      <c r="A43" t="s">
        <v>210</v>
      </c>
      <c r="C43" s="68">
        <v>4287</v>
      </c>
      <c r="D43" s="68">
        <v>4287</v>
      </c>
      <c r="E43" s="68">
        <v>1040</v>
      </c>
      <c r="F43" s="68">
        <v>1040</v>
      </c>
      <c r="G43" s="68">
        <v>4743</v>
      </c>
      <c r="H43" s="68">
        <v>4743</v>
      </c>
      <c r="I43" s="68">
        <v>4771</v>
      </c>
      <c r="J43" s="68">
        <v>4771</v>
      </c>
      <c r="K43" s="68">
        <v>14841</v>
      </c>
      <c r="L43" s="68">
        <v>14841</v>
      </c>
      <c r="M43" s="68">
        <v>29682</v>
      </c>
      <c r="P43" s="68">
        <v>3021</v>
      </c>
      <c r="Q43" s="68">
        <v>3021</v>
      </c>
      <c r="R43" s="69">
        <v>820</v>
      </c>
      <c r="S43" s="69">
        <v>820</v>
      </c>
      <c r="T43" s="74">
        <f t="shared" si="2"/>
        <v>409.58549222797927</v>
      </c>
      <c r="U43" s="74">
        <f t="shared" si="3"/>
        <v>409.58549222797927</v>
      </c>
      <c r="V43" s="68">
        <v>3841</v>
      </c>
      <c r="W43" s="68">
        <v>3841</v>
      </c>
      <c r="X43" s="68">
        <v>7682</v>
      </c>
      <c r="AA43" t="s">
        <v>230</v>
      </c>
      <c r="AB43" t="s">
        <v>105</v>
      </c>
      <c r="AC43" s="75">
        <v>15650.840399999999</v>
      </c>
      <c r="AK43">
        <v>263.28750000000002</v>
      </c>
      <c r="AL43">
        <v>263.14999999999998</v>
      </c>
      <c r="AM43">
        <v>658.34339999999997</v>
      </c>
      <c r="AN43">
        <v>649.94010000000003</v>
      </c>
    </row>
    <row r="44" spans="1:40">
      <c r="A44" t="s">
        <v>211</v>
      </c>
      <c r="C44" s="69">
        <v>24</v>
      </c>
      <c r="D44" s="69">
        <v>24</v>
      </c>
      <c r="E44" s="69">
        <v>2</v>
      </c>
      <c r="F44" s="69">
        <v>2</v>
      </c>
      <c r="G44" s="69">
        <v>33</v>
      </c>
      <c r="H44" s="69">
        <v>33</v>
      </c>
      <c r="I44" s="69">
        <v>30</v>
      </c>
      <c r="J44" s="69">
        <v>30</v>
      </c>
      <c r="K44" s="69">
        <v>89</v>
      </c>
      <c r="L44" s="69">
        <v>89</v>
      </c>
      <c r="M44" s="69">
        <v>178</v>
      </c>
      <c r="P44" s="69">
        <v>19</v>
      </c>
      <c r="Q44" s="69">
        <v>19</v>
      </c>
      <c r="R44" s="69">
        <v>4</v>
      </c>
      <c r="S44" s="69">
        <v>4</v>
      </c>
      <c r="T44" s="74">
        <f t="shared" si="2"/>
        <v>2.849740932642487</v>
      </c>
      <c r="U44" s="74">
        <f t="shared" si="3"/>
        <v>2.849740932642487</v>
      </c>
      <c r="V44" s="69">
        <v>23</v>
      </c>
      <c r="W44" s="69">
        <v>23</v>
      </c>
      <c r="X44" s="69">
        <v>46</v>
      </c>
      <c r="AA44" t="s">
        <v>230</v>
      </c>
      <c r="AB44" t="s">
        <v>106</v>
      </c>
      <c r="AC44" s="75">
        <v>3793.4029</v>
      </c>
      <c r="AK44">
        <v>263.15710000000001</v>
      </c>
      <c r="AL44">
        <v>263.3263</v>
      </c>
      <c r="AM44">
        <v>652.92409999999995</v>
      </c>
      <c r="AN44">
        <v>649.42539999999997</v>
      </c>
    </row>
    <row r="45" spans="1:40">
      <c r="AA45" t="s">
        <v>231</v>
      </c>
      <c r="AB45" t="s">
        <v>232</v>
      </c>
      <c r="AC45" s="75">
        <v>2617.3850000000002</v>
      </c>
      <c r="AK45">
        <v>263.78250000000003</v>
      </c>
      <c r="AL45">
        <v>263.52199999999999</v>
      </c>
      <c r="AM45">
        <v>655.89350000000002</v>
      </c>
      <c r="AN45">
        <v>647.83619999999996</v>
      </c>
    </row>
    <row r="46" spans="1:40">
      <c r="AA46" t="s">
        <v>231</v>
      </c>
      <c r="AB46" t="s">
        <v>126</v>
      </c>
      <c r="AC46" s="75">
        <v>3238.1246999999998</v>
      </c>
      <c r="AK46">
        <v>264.4948</v>
      </c>
      <c r="AL46">
        <v>264.25319999999999</v>
      </c>
      <c r="AM46">
        <v>650.22400000000005</v>
      </c>
      <c r="AN46">
        <v>646.25300000000004</v>
      </c>
    </row>
    <row r="47" spans="1:40">
      <c r="AK47">
        <v>264.38010000000003</v>
      </c>
      <c r="AL47">
        <v>265.44740000000002</v>
      </c>
      <c r="AN47">
        <v>644.66999999999996</v>
      </c>
    </row>
    <row r="48" spans="1:40">
      <c r="AK48">
        <v>264.01859999999999</v>
      </c>
      <c r="AL48">
        <v>265.53899999999999</v>
      </c>
    </row>
    <row r="49" spans="37:38">
      <c r="AK49">
        <v>264.45800000000003</v>
      </c>
      <c r="AL49">
        <v>265.59870000000001</v>
      </c>
    </row>
    <row r="50" spans="37:38">
      <c r="AK50">
        <v>264.3426</v>
      </c>
      <c r="AL50">
        <v>265.5573</v>
      </c>
    </row>
    <row r="51" spans="37:38">
      <c r="AK51">
        <v>264.30790000000002</v>
      </c>
      <c r="AL51">
        <v>265.53140000000002</v>
      </c>
    </row>
    <row r="52" spans="37:38">
      <c r="AK52">
        <v>264.80329999999998</v>
      </c>
      <c r="AL52">
        <v>265.53230000000002</v>
      </c>
    </row>
    <row r="53" spans="37:38">
      <c r="AK53">
        <v>264.80329999999998</v>
      </c>
      <c r="AL53">
        <v>265.58249999999998</v>
      </c>
    </row>
    <row r="54" spans="37:38">
      <c r="AK54">
        <v>264.80329999999998</v>
      </c>
      <c r="AL54">
        <v>265.4778</v>
      </c>
    </row>
    <row r="55" spans="37:38">
      <c r="AK55">
        <v>265.37630000000001</v>
      </c>
      <c r="AL55">
        <v>264.19540000000001</v>
      </c>
    </row>
    <row r="56" spans="37:38">
      <c r="AK56">
        <v>265.37630000000001</v>
      </c>
      <c r="AL56">
        <v>265.48930000000001</v>
      </c>
    </row>
    <row r="57" spans="37:38">
      <c r="AK57">
        <v>265.37630000000001</v>
      </c>
      <c r="AL57">
        <v>265.2303</v>
      </c>
    </row>
    <row r="58" spans="37:38">
      <c r="AK58">
        <v>263.63299999999998</v>
      </c>
      <c r="AL58">
        <v>264.9914</v>
      </c>
    </row>
    <row r="59" spans="37:38">
      <c r="AK59">
        <v>263.19029999999998</v>
      </c>
      <c r="AL59">
        <v>264.56079999999997</v>
      </c>
    </row>
    <row r="60" spans="37:38">
      <c r="AK60">
        <v>264.1825</v>
      </c>
      <c r="AL60">
        <v>265.35079999999999</v>
      </c>
    </row>
    <row r="61" spans="37:38">
      <c r="AK61">
        <v>263.05619999999999</v>
      </c>
      <c r="AL61">
        <v>265.38589999999999</v>
      </c>
    </row>
    <row r="62" spans="37:38">
      <c r="AK62">
        <v>263.01089999999999</v>
      </c>
      <c r="AL62">
        <v>265.15949999999998</v>
      </c>
    </row>
    <row r="63" spans="37:38">
      <c r="AK63">
        <v>264.36450000000002</v>
      </c>
      <c r="AL63">
        <v>265.40269999999998</v>
      </c>
    </row>
    <row r="64" spans="37:38">
      <c r="AK64">
        <v>263.18360000000001</v>
      </c>
      <c r="AL64">
        <v>265.25900000000001</v>
      </c>
    </row>
    <row r="65" spans="37:38">
      <c r="AK65">
        <v>263.02910000000003</v>
      </c>
      <c r="AL65">
        <v>265.23009999999999</v>
      </c>
    </row>
    <row r="66" spans="37:38">
      <c r="AK66">
        <v>263.04509999999999</v>
      </c>
      <c r="AL66">
        <v>265.24959999999999</v>
      </c>
    </row>
    <row r="67" spans="37:38">
      <c r="AK67">
        <v>263.1241</v>
      </c>
      <c r="AL67">
        <v>265.00060000000002</v>
      </c>
    </row>
    <row r="68" spans="37:38">
      <c r="AK68">
        <v>263.0609</v>
      </c>
      <c r="AL68">
        <v>263.95639999999997</v>
      </c>
    </row>
    <row r="69" spans="37:38">
      <c r="AK69">
        <v>263.26960000000003</v>
      </c>
      <c r="AL69">
        <v>263.35599999999999</v>
      </c>
    </row>
    <row r="70" spans="37:38">
      <c r="AK70">
        <v>263.25670000000002</v>
      </c>
      <c r="AL70">
        <v>263.27480000000003</v>
      </c>
    </row>
    <row r="71" spans="37:38">
      <c r="AK71">
        <v>263.22179999999997</v>
      </c>
      <c r="AL71">
        <v>264.59930000000003</v>
      </c>
    </row>
    <row r="72" spans="37:38">
      <c r="AK72">
        <v>263.14269999999999</v>
      </c>
      <c r="AL72">
        <v>264.1114</v>
      </c>
    </row>
    <row r="73" spans="37:38">
      <c r="AK73">
        <v>263.28269999999998</v>
      </c>
      <c r="AL73">
        <v>264.56790000000001</v>
      </c>
    </row>
    <row r="74" spans="37:38">
      <c r="AK74">
        <v>263.08359999999999</v>
      </c>
      <c r="AL74">
        <v>264.10300000000001</v>
      </c>
    </row>
    <row r="75" spans="37:38">
      <c r="AK75">
        <v>263.1728</v>
      </c>
      <c r="AL75">
        <v>264.13679999999999</v>
      </c>
    </row>
    <row r="76" spans="37:38">
      <c r="AK76">
        <v>263.08359999999999</v>
      </c>
      <c r="AL76">
        <v>265.03250000000003</v>
      </c>
    </row>
    <row r="77" spans="37:38">
      <c r="AK77">
        <v>263.1728</v>
      </c>
      <c r="AL77">
        <v>263.67070000000001</v>
      </c>
    </row>
    <row r="78" spans="37:38">
      <c r="AK78">
        <v>263.01299999999998</v>
      </c>
      <c r="AL78">
        <v>264.59930000000003</v>
      </c>
    </row>
    <row r="79" spans="37:38">
      <c r="AK79">
        <v>263.08710000000002</v>
      </c>
      <c r="AL79">
        <v>264.1114</v>
      </c>
    </row>
    <row r="80" spans="37:38">
      <c r="AK80">
        <v>263.33159999999998</v>
      </c>
      <c r="AL80">
        <v>264.56790000000001</v>
      </c>
    </row>
    <row r="81" spans="37:38">
      <c r="AK81">
        <v>265.45819999999998</v>
      </c>
      <c r="AL81">
        <v>264.10300000000001</v>
      </c>
    </row>
    <row r="82" spans="37:38">
      <c r="AK82">
        <v>265.39909999999998</v>
      </c>
      <c r="AL82">
        <v>264.13679999999999</v>
      </c>
    </row>
    <row r="83" spans="37:38">
      <c r="AK83">
        <v>265.35759999999999</v>
      </c>
      <c r="AL83">
        <v>265.03250000000003</v>
      </c>
    </row>
    <row r="84" spans="37:38">
      <c r="AK84">
        <v>265.48480000000001</v>
      </c>
      <c r="AL84">
        <v>263.67070000000001</v>
      </c>
    </row>
    <row r="85" spans="37:38">
      <c r="AK85">
        <v>265.4966</v>
      </c>
      <c r="AL85">
        <v>263.78210000000001</v>
      </c>
    </row>
    <row r="86" spans="37:38">
      <c r="AK86">
        <v>265.44389999999999</v>
      </c>
      <c r="AL86">
        <v>262.28149999999999</v>
      </c>
    </row>
    <row r="87" spans="37:38">
      <c r="AK87">
        <v>265.4871</v>
      </c>
      <c r="AL87">
        <v>263.08690000000001</v>
      </c>
    </row>
    <row r="88" spans="37:38">
      <c r="AK88">
        <v>265.36009999999999</v>
      </c>
      <c r="AL88">
        <v>263.19619999999998</v>
      </c>
    </row>
    <row r="89" spans="37:38">
      <c r="AK89">
        <v>265.33390000000003</v>
      </c>
      <c r="AL89">
        <v>263.19619999999998</v>
      </c>
    </row>
    <row r="90" spans="37:38">
      <c r="AK90">
        <v>263.99829999999997</v>
      </c>
      <c r="AL90">
        <v>263.19619999999998</v>
      </c>
    </row>
    <row r="91" spans="37:38">
      <c r="AK91">
        <v>265.33260000000001</v>
      </c>
      <c r="AL91">
        <v>263.19619999999998</v>
      </c>
    </row>
    <row r="92" spans="37:38">
      <c r="AK92">
        <v>265.49009999999998</v>
      </c>
      <c r="AL92">
        <v>263.19619999999998</v>
      </c>
    </row>
    <row r="93" spans="37:38">
      <c r="AK93">
        <v>265.39690000000002</v>
      </c>
      <c r="AL93">
        <v>263.19619999999998</v>
      </c>
    </row>
    <row r="94" spans="37:38">
      <c r="AK94">
        <v>265.41719999999998</v>
      </c>
      <c r="AL94">
        <v>264.41059999999999</v>
      </c>
    </row>
    <row r="95" spans="37:38">
      <c r="AK95">
        <v>265.38510000000002</v>
      </c>
      <c r="AL95">
        <v>264.40190000000001</v>
      </c>
    </row>
    <row r="96" spans="37:38">
      <c r="AK96">
        <v>265.43380000000002</v>
      </c>
      <c r="AL96">
        <v>263.1893</v>
      </c>
    </row>
    <row r="97" spans="37:40">
      <c r="AL97">
        <v>263.76400000000001</v>
      </c>
    </row>
    <row r="98" spans="37:40">
      <c r="AL98">
        <v>263.76400000000001</v>
      </c>
    </row>
    <row r="99" spans="37:40">
      <c r="AL99">
        <v>263.76400000000001</v>
      </c>
    </row>
    <row r="100" spans="37:40">
      <c r="AL100">
        <v>263.33859999999999</v>
      </c>
    </row>
    <row r="101" spans="37:40">
      <c r="AL101">
        <v>263.40210000000002</v>
      </c>
    </row>
    <row r="102" spans="37:40">
      <c r="AL102">
        <v>263.28879999999998</v>
      </c>
    </row>
    <row r="108" spans="37:40">
      <c r="AK108">
        <f>SUM(AK43:AK107)</f>
        <v>14267.0414</v>
      </c>
      <c r="AL108">
        <f t="shared" ref="AL108:AN108" si="4">SUM(AL43:AL107)</f>
        <v>15857.704699999997</v>
      </c>
      <c r="AM108">
        <f t="shared" si="4"/>
        <v>2617.3850000000002</v>
      </c>
      <c r="AN108">
        <f t="shared" si="4"/>
        <v>3238.1246999999998</v>
      </c>
    </row>
    <row r="109" spans="37:40">
      <c r="AM109">
        <v>2617.3850000000002</v>
      </c>
      <c r="AN109">
        <v>3238.1246999999998</v>
      </c>
    </row>
  </sheetData>
  <mergeCells count="29">
    <mergeCell ref="AK41:AN41"/>
    <mergeCell ref="P36:Q36"/>
    <mergeCell ref="R36:S36"/>
    <mergeCell ref="V36:X36"/>
    <mergeCell ref="T27:U27"/>
    <mergeCell ref="T36:U36"/>
    <mergeCell ref="P27:Q27"/>
    <mergeCell ref="R27:S27"/>
    <mergeCell ref="V27:X27"/>
    <mergeCell ref="C36:D36"/>
    <mergeCell ref="E36:F36"/>
    <mergeCell ref="G36:H36"/>
    <mergeCell ref="I36:J36"/>
    <mergeCell ref="K36:M36"/>
    <mergeCell ref="B16:B17"/>
    <mergeCell ref="B18:B19"/>
    <mergeCell ref="B20:B21"/>
    <mergeCell ref="B22:B23"/>
    <mergeCell ref="B6:C7"/>
    <mergeCell ref="D6:E6"/>
    <mergeCell ref="B8:B9"/>
    <mergeCell ref="B10:B11"/>
    <mergeCell ref="B12:B13"/>
    <mergeCell ref="B14:B15"/>
    <mergeCell ref="C27:D27"/>
    <mergeCell ref="E27:F27"/>
    <mergeCell ref="G27:H27"/>
    <mergeCell ref="I27:J27"/>
    <mergeCell ref="K27:M27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92"/>
  <sheetViews>
    <sheetView topLeftCell="A35" zoomScale="70" zoomScaleNormal="70" workbookViewId="0">
      <selection activeCell="K97" sqref="K97"/>
    </sheetView>
  </sheetViews>
  <sheetFormatPr defaultRowHeight="17"/>
  <cols>
    <col min="22" max="22" width="15.08203125" bestFit="1" customWidth="1"/>
    <col min="46" max="46" width="15.08203125" bestFit="1" customWidth="1"/>
  </cols>
  <sheetData>
    <row r="1" spans="1:24">
      <c r="A1" s="32" t="s">
        <v>243</v>
      </c>
      <c r="B1" t="s">
        <v>237</v>
      </c>
      <c r="V1" s="32" t="s">
        <v>242</v>
      </c>
      <c r="W1" t="s">
        <v>241</v>
      </c>
    </row>
    <row r="2" spans="1:24">
      <c r="B2" t="s">
        <v>153</v>
      </c>
      <c r="C2" t="s">
        <v>236</v>
      </c>
      <c r="W2" t="s">
        <v>239</v>
      </c>
      <c r="X2" t="s">
        <v>240</v>
      </c>
    </row>
    <row r="3" spans="1:24">
      <c r="W3" t="s">
        <v>238</v>
      </c>
    </row>
    <row r="9" spans="1:24" ht="17.5" thickBot="1">
      <c r="A9" t="s">
        <v>312</v>
      </c>
    </row>
    <row r="10" spans="1:24" ht="18" thickTop="1" thickBot="1">
      <c r="A10" s="476" t="s">
        <v>311</v>
      </c>
      <c r="B10" s="477"/>
      <c r="C10" s="125" t="s">
        <v>44</v>
      </c>
      <c r="D10" s="125" t="s">
        <v>45</v>
      </c>
      <c r="E10" s="125" t="s">
        <v>46</v>
      </c>
      <c r="F10" s="126" t="s">
        <v>11</v>
      </c>
    </row>
    <row r="11" spans="1:24" ht="29.5" thickTop="1">
      <c r="A11" s="478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</row>
    <row r="12" spans="1:24" ht="29.5" thickBot="1">
      <c r="A12" s="479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24" ht="17.5" thickTop="1"/>
    <row r="16" spans="1:24" ht="18" thickBot="1">
      <c r="A16" s="157" t="s">
        <v>308</v>
      </c>
      <c r="L16" t="s">
        <v>317</v>
      </c>
      <c r="O16" s="157" t="s">
        <v>318</v>
      </c>
      <c r="X16" t="s">
        <v>317</v>
      </c>
    </row>
    <row r="17" spans="1:52" ht="17.5" thickTop="1">
      <c r="A17" s="480" t="s">
        <v>307</v>
      </c>
      <c r="B17" s="481"/>
      <c r="C17" s="481"/>
      <c r="D17" s="481"/>
      <c r="E17" s="482"/>
      <c r="F17" s="486" t="s">
        <v>165</v>
      </c>
      <c r="G17" s="487"/>
      <c r="H17" s="488"/>
      <c r="I17" s="105" t="s">
        <v>284</v>
      </c>
      <c r="J17" s="105" t="s">
        <v>286</v>
      </c>
      <c r="K17" s="105" t="s">
        <v>287</v>
      </c>
      <c r="L17" s="489" t="s">
        <v>21</v>
      </c>
      <c r="O17" s="491" t="s">
        <v>1</v>
      </c>
      <c r="P17" s="497" t="s">
        <v>288</v>
      </c>
      <c r="Q17" s="497"/>
      <c r="R17" s="497"/>
      <c r="S17" s="497"/>
      <c r="T17" s="497"/>
      <c r="U17" s="497"/>
      <c r="V17" s="497"/>
      <c r="W17" s="497"/>
      <c r="X17" s="497" t="s">
        <v>306</v>
      </c>
      <c r="Y17" s="497"/>
      <c r="Z17" s="497"/>
      <c r="AA17" s="497"/>
      <c r="AB17" s="497"/>
      <c r="AC17" s="497"/>
      <c r="AD17" s="497"/>
      <c r="AE17" s="497"/>
      <c r="AJ17" s="491" t="s">
        <v>1</v>
      </c>
      <c r="AK17" s="497" t="s">
        <v>288</v>
      </c>
      <c r="AL17" s="497"/>
      <c r="AM17" s="497"/>
      <c r="AN17" s="497"/>
      <c r="AO17" s="497"/>
      <c r="AP17" s="497"/>
      <c r="AQ17" s="497"/>
      <c r="AR17" s="497"/>
      <c r="AS17" s="497" t="s">
        <v>306</v>
      </c>
      <c r="AT17" s="497"/>
      <c r="AU17" s="497"/>
      <c r="AV17" s="497"/>
      <c r="AW17" s="497"/>
      <c r="AX17" s="497"/>
      <c r="AY17" s="497"/>
      <c r="AZ17" s="497"/>
    </row>
    <row r="18" spans="1:52" ht="17.5" thickBot="1">
      <c r="A18" s="483"/>
      <c r="B18" s="484"/>
      <c r="C18" s="484"/>
      <c r="D18" s="484"/>
      <c r="E18" s="485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90"/>
      <c r="O18" s="491"/>
      <c r="P18" s="498" t="s">
        <v>327</v>
      </c>
      <c r="Q18" s="499"/>
      <c r="R18" s="499"/>
      <c r="S18" s="499"/>
      <c r="T18" s="499"/>
      <c r="U18" s="500"/>
      <c r="V18" s="492" t="s">
        <v>250</v>
      </c>
      <c r="W18" s="492"/>
      <c r="X18" s="498" t="s">
        <v>327</v>
      </c>
      <c r="Y18" s="499"/>
      <c r="Z18" s="499"/>
      <c r="AA18" s="499"/>
      <c r="AB18" s="499"/>
      <c r="AC18" s="500"/>
      <c r="AD18" s="492" t="s">
        <v>250</v>
      </c>
      <c r="AE18" s="492"/>
      <c r="AJ18" s="491"/>
      <c r="AK18" s="498" t="s">
        <v>327</v>
      </c>
      <c r="AL18" s="499"/>
      <c r="AM18" s="499"/>
      <c r="AN18" s="499"/>
      <c r="AO18" s="499"/>
      <c r="AP18" s="500"/>
      <c r="AQ18" s="492" t="s">
        <v>250</v>
      </c>
      <c r="AR18" s="492"/>
      <c r="AS18" s="498" t="s">
        <v>327</v>
      </c>
      <c r="AT18" s="499"/>
      <c r="AU18" s="499"/>
      <c r="AV18" s="499"/>
      <c r="AW18" s="499"/>
      <c r="AX18" s="500"/>
      <c r="AY18" s="492" t="s">
        <v>250</v>
      </c>
      <c r="AZ18" s="492"/>
    </row>
    <row r="19" spans="1:52" ht="18" customHeight="1" thickTop="1">
      <c r="A19" s="478" t="s">
        <v>288</v>
      </c>
      <c r="B19" s="494" t="s">
        <v>26</v>
      </c>
      <c r="C19" s="495"/>
      <c r="D19" s="495"/>
      <c r="E19" s="496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491"/>
      <c r="P19" s="492" t="s">
        <v>325</v>
      </c>
      <c r="Q19" s="492"/>
      <c r="R19" s="492"/>
      <c r="S19" s="492"/>
      <c r="T19" s="492" t="s">
        <v>326</v>
      </c>
      <c r="U19" s="492"/>
      <c r="V19" s="492"/>
      <c r="W19" s="492"/>
      <c r="X19" s="492" t="s">
        <v>325</v>
      </c>
      <c r="Y19" s="492"/>
      <c r="Z19" s="492"/>
      <c r="AA19" s="492"/>
      <c r="AB19" s="492" t="s">
        <v>326</v>
      </c>
      <c r="AC19" s="492"/>
      <c r="AD19" s="492"/>
      <c r="AE19" s="492"/>
      <c r="AJ19" s="491"/>
      <c r="AK19" s="492" t="s">
        <v>325</v>
      </c>
      <c r="AL19" s="492"/>
      <c r="AM19" s="492"/>
      <c r="AN19" s="492"/>
      <c r="AO19" s="492" t="s">
        <v>326</v>
      </c>
      <c r="AP19" s="492"/>
      <c r="AQ19" s="492"/>
      <c r="AR19" s="492"/>
      <c r="AS19" s="492" t="s">
        <v>325</v>
      </c>
      <c r="AT19" s="492"/>
      <c r="AU19" s="492"/>
      <c r="AV19" s="492"/>
      <c r="AW19" s="492" t="s">
        <v>326</v>
      </c>
      <c r="AX19" s="492"/>
      <c r="AY19" s="492"/>
      <c r="AZ19" s="492"/>
    </row>
    <row r="20" spans="1:52">
      <c r="A20" s="493"/>
      <c r="B20" s="110" t="s">
        <v>289</v>
      </c>
      <c r="C20" s="501" t="s">
        <v>11</v>
      </c>
      <c r="D20" s="502"/>
      <c r="E20" s="503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491"/>
      <c r="P20" s="139" t="s">
        <v>314</v>
      </c>
      <c r="Q20" s="139" t="s">
        <v>285</v>
      </c>
      <c r="R20" s="104"/>
      <c r="S20" s="492" t="s">
        <v>166</v>
      </c>
      <c r="T20" s="492" t="s">
        <v>9</v>
      </c>
      <c r="U20" s="492" t="s">
        <v>10</v>
      </c>
      <c r="V20" s="492" t="s">
        <v>9</v>
      </c>
      <c r="W20" s="492" t="s">
        <v>10</v>
      </c>
      <c r="X20" s="139" t="s">
        <v>314</v>
      </c>
      <c r="Y20" s="139" t="s">
        <v>285</v>
      </c>
      <c r="Z20" s="104"/>
      <c r="AA20" s="492" t="s">
        <v>166</v>
      </c>
      <c r="AB20" s="492" t="s">
        <v>9</v>
      </c>
      <c r="AC20" s="492" t="s">
        <v>10</v>
      </c>
      <c r="AD20" s="492" t="s">
        <v>9</v>
      </c>
      <c r="AE20" s="492" t="s">
        <v>10</v>
      </c>
      <c r="AJ20" s="491"/>
      <c r="AK20" s="139" t="s">
        <v>314</v>
      </c>
      <c r="AL20" s="139" t="s">
        <v>285</v>
      </c>
      <c r="AM20" s="104"/>
      <c r="AN20" s="492" t="s">
        <v>166</v>
      </c>
      <c r="AO20" s="492" t="s">
        <v>9</v>
      </c>
      <c r="AP20" s="492" t="s">
        <v>10</v>
      </c>
      <c r="AQ20" s="492" t="s">
        <v>9</v>
      </c>
      <c r="AR20" s="492" t="s">
        <v>10</v>
      </c>
      <c r="AS20" s="139" t="s">
        <v>314</v>
      </c>
      <c r="AT20" s="139" t="s">
        <v>285</v>
      </c>
      <c r="AU20" s="104"/>
      <c r="AV20" s="492" t="s">
        <v>166</v>
      </c>
      <c r="AW20" s="492" t="s">
        <v>9</v>
      </c>
      <c r="AX20" s="492" t="s">
        <v>10</v>
      </c>
      <c r="AY20" s="492" t="s">
        <v>9</v>
      </c>
      <c r="AZ20" s="492" t="s">
        <v>10</v>
      </c>
    </row>
    <row r="21" spans="1:52">
      <c r="A21" s="493"/>
      <c r="B21" s="111" t="s">
        <v>290</v>
      </c>
      <c r="C21" s="110" t="s">
        <v>291</v>
      </c>
      <c r="D21" s="501" t="s">
        <v>292</v>
      </c>
      <c r="E21" s="503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491"/>
      <c r="P21" s="139" t="s">
        <v>44</v>
      </c>
      <c r="Q21" s="139" t="s">
        <v>45</v>
      </c>
      <c r="R21" s="139" t="s">
        <v>46</v>
      </c>
      <c r="S21" s="492"/>
      <c r="T21" s="492"/>
      <c r="U21" s="492"/>
      <c r="V21" s="492"/>
      <c r="W21" s="492"/>
      <c r="X21" s="139" t="s">
        <v>44</v>
      </c>
      <c r="Y21" s="139" t="s">
        <v>45</v>
      </c>
      <c r="Z21" s="139" t="s">
        <v>46</v>
      </c>
      <c r="AA21" s="492"/>
      <c r="AB21" s="492"/>
      <c r="AC21" s="492"/>
      <c r="AD21" s="492"/>
      <c r="AE21" s="492"/>
      <c r="AJ21" s="491"/>
      <c r="AK21" s="139" t="s">
        <v>44</v>
      </c>
      <c r="AL21" s="139" t="s">
        <v>45</v>
      </c>
      <c r="AM21" s="139" t="s">
        <v>46</v>
      </c>
      <c r="AN21" s="492"/>
      <c r="AO21" s="492"/>
      <c r="AP21" s="492"/>
      <c r="AQ21" s="492"/>
      <c r="AR21" s="492"/>
      <c r="AS21" s="139" t="s">
        <v>44</v>
      </c>
      <c r="AT21" s="139" t="s">
        <v>45</v>
      </c>
      <c r="AU21" s="139" t="s">
        <v>46</v>
      </c>
      <c r="AV21" s="492"/>
      <c r="AW21" s="492"/>
      <c r="AX21" s="492"/>
      <c r="AY21" s="492"/>
      <c r="AZ21" s="492"/>
    </row>
    <row r="22" spans="1:52">
      <c r="A22" s="493"/>
      <c r="B22" s="111" t="s">
        <v>19</v>
      </c>
      <c r="C22" s="116" t="s">
        <v>289</v>
      </c>
      <c r="D22" s="501" t="s">
        <v>293</v>
      </c>
      <c r="E22" s="503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140" t="s">
        <v>156</v>
      </c>
      <c r="P22" s="141">
        <f>AK22*0.01</f>
        <v>0.40700000000000003</v>
      </c>
      <c r="Q22" s="141">
        <f t="shared" ref="Q22:Q26" si="0">AL22*0.01</f>
        <v>7.0000000000000007E-2</v>
      </c>
      <c r="R22" s="141">
        <f t="shared" ref="R22:R26" si="1">AM22*0.01</f>
        <v>0.28199999999999997</v>
      </c>
      <c r="S22" s="141">
        <f t="shared" ref="S22:S26" si="2">AN22*0.01</f>
        <v>0.253</v>
      </c>
      <c r="T22" s="141">
        <f t="shared" ref="T22:T26" si="3">AO22*0.01</f>
        <v>0.26600000000000001</v>
      </c>
      <c r="U22" s="141">
        <f t="shared" ref="U22:U26" si="4">AP22*0.01</f>
        <v>0.28500000000000003</v>
      </c>
      <c r="V22" s="141">
        <f t="shared" ref="V22:V26" si="5">AQ22*0.01</f>
        <v>0.371</v>
      </c>
      <c r="W22" s="141">
        <f t="shared" ref="W22:W26" si="6">AR22*0.01</f>
        <v>0.34899999999999998</v>
      </c>
      <c r="X22" s="141">
        <f t="shared" ref="X22:X26" si="7">AS22*0.01</f>
        <v>0.40799999999999997</v>
      </c>
      <c r="Y22" s="141">
        <f t="shared" ref="Y22:Y26" si="8">AT22*0.01</f>
        <v>7.0999999999999994E-2</v>
      </c>
      <c r="Z22" s="141">
        <f t="shared" ref="Z22:Z26" si="9">AU22*0.01</f>
        <v>0.28399999999999997</v>
      </c>
      <c r="AA22" s="141">
        <f t="shared" ref="AA22:AA26" si="10">AV22*0.01</f>
        <v>0.254</v>
      </c>
      <c r="AB22" s="141">
        <f t="shared" ref="AB22:AB26" si="11">AW22*0.01</f>
        <v>0.26700000000000002</v>
      </c>
      <c r="AC22" s="141">
        <f t="shared" ref="AC22:AC26" si="12">AX22*0.01</f>
        <v>0.28699999999999998</v>
      </c>
      <c r="AD22" s="141">
        <f t="shared" ref="AD22:AD26" si="13">AY22*0.01</f>
        <v>0.37200000000000005</v>
      </c>
      <c r="AE22" s="141">
        <f t="shared" ref="AE22:AE26" si="14">AZ22*0.01</f>
        <v>0.35100000000000003</v>
      </c>
      <c r="AJ22" s="140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493"/>
      <c r="B23" s="112"/>
      <c r="C23" s="110" t="s">
        <v>294</v>
      </c>
      <c r="D23" s="501" t="s">
        <v>292</v>
      </c>
      <c r="E23" s="503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140" t="s">
        <v>157</v>
      </c>
      <c r="P23" s="141">
        <f t="shared" ref="P23:P26" si="15">AK23*0.01</f>
        <v>5.9000000000000004E-2</v>
      </c>
      <c r="Q23" s="141">
        <f t="shared" si="0"/>
        <v>2.4E-2</v>
      </c>
      <c r="R23" s="141">
        <f t="shared" si="1"/>
        <v>7.0000000000000007E-2</v>
      </c>
      <c r="S23" s="141">
        <f t="shared" si="2"/>
        <v>7.400000000000001E-2</v>
      </c>
      <c r="T23" s="141">
        <f t="shared" si="3"/>
        <v>1.9E-2</v>
      </c>
      <c r="U23" s="141">
        <f t="shared" si="4"/>
        <v>3.9E-2</v>
      </c>
      <c r="V23" s="141">
        <f t="shared" si="5"/>
        <v>9.6000000000000002E-2</v>
      </c>
      <c r="W23" s="141">
        <f t="shared" si="6"/>
        <v>9.3000000000000013E-2</v>
      </c>
      <c r="X23" s="141">
        <f t="shared" si="7"/>
        <v>5.9000000000000004E-2</v>
      </c>
      <c r="Y23" s="141">
        <f t="shared" si="8"/>
        <v>2.4E-2</v>
      </c>
      <c r="Z23" s="141">
        <f t="shared" si="9"/>
        <v>7.0999999999999994E-2</v>
      </c>
      <c r="AA23" s="141">
        <f t="shared" si="10"/>
        <v>7.4999999999999997E-2</v>
      </c>
      <c r="AB23" s="141">
        <f t="shared" si="11"/>
        <v>1.9E-2</v>
      </c>
      <c r="AC23" s="141">
        <f t="shared" si="12"/>
        <v>3.9E-2</v>
      </c>
      <c r="AD23" s="141">
        <f t="shared" si="13"/>
        <v>9.6999999999999989E-2</v>
      </c>
      <c r="AE23" s="141">
        <f t="shared" si="14"/>
        <v>9.4E-2</v>
      </c>
      <c r="AJ23" s="140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493"/>
      <c r="B24" s="112"/>
      <c r="C24" s="111" t="s">
        <v>289</v>
      </c>
      <c r="D24" s="504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140" t="s">
        <v>158</v>
      </c>
      <c r="P24" s="141">
        <f t="shared" si="15"/>
        <v>0.40100000000000002</v>
      </c>
      <c r="Q24" s="141">
        <f t="shared" si="0"/>
        <v>0.39100000000000001</v>
      </c>
      <c r="R24" s="141">
        <f t="shared" si="1"/>
        <v>0.40799999999999997</v>
      </c>
      <c r="S24" s="141">
        <f t="shared" si="2"/>
        <v>0.42</v>
      </c>
      <c r="T24" s="141">
        <f t="shared" si="3"/>
        <v>0.55299999999999994</v>
      </c>
      <c r="U24" s="141">
        <f t="shared" si="4"/>
        <v>0.19700000000000001</v>
      </c>
      <c r="V24" s="141">
        <f t="shared" si="5"/>
        <v>0.34799999999999998</v>
      </c>
      <c r="W24" s="141">
        <f t="shared" si="6"/>
        <v>0.35799999999999998</v>
      </c>
      <c r="X24" s="141">
        <f t="shared" si="7"/>
        <v>0.4</v>
      </c>
      <c r="Y24" s="141">
        <f t="shared" si="8"/>
        <v>0.39200000000000002</v>
      </c>
      <c r="Z24" s="141">
        <f t="shared" si="9"/>
        <v>0.40799999999999997</v>
      </c>
      <c r="AA24" s="141">
        <f t="shared" si="10"/>
        <v>0.42</v>
      </c>
      <c r="AB24" s="141">
        <f t="shared" si="11"/>
        <v>0.55299999999999994</v>
      </c>
      <c r="AC24" s="141">
        <f t="shared" si="12"/>
        <v>0.19700000000000001</v>
      </c>
      <c r="AD24" s="141">
        <f t="shared" si="13"/>
        <v>0.34799999999999998</v>
      </c>
      <c r="AE24" s="141">
        <f t="shared" si="14"/>
        <v>0.35700000000000004</v>
      </c>
      <c r="AJ24" s="140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493"/>
      <c r="B25" s="112"/>
      <c r="C25" s="112"/>
      <c r="D25" s="505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140" t="s">
        <v>46</v>
      </c>
      <c r="P25" s="141">
        <f t="shared" si="15"/>
        <v>0.13300000000000001</v>
      </c>
      <c r="Q25" s="141">
        <f t="shared" si="0"/>
        <v>0.51400000000000001</v>
      </c>
      <c r="R25" s="141">
        <f t="shared" si="1"/>
        <v>0.23899999999999999</v>
      </c>
      <c r="S25" s="141">
        <f t="shared" si="2"/>
        <v>0.253</v>
      </c>
      <c r="T25" s="141">
        <f t="shared" si="3"/>
        <v>0.16200000000000001</v>
      </c>
      <c r="U25" s="141">
        <f t="shared" si="4"/>
        <v>0.47899999999999998</v>
      </c>
      <c r="V25" s="141">
        <f t="shared" si="5"/>
        <v>0.185</v>
      </c>
      <c r="W25" s="141">
        <f t="shared" si="6"/>
        <v>0.19899999999999998</v>
      </c>
      <c r="X25" s="141">
        <f t="shared" si="7"/>
        <v>0.13200000000000001</v>
      </c>
      <c r="Y25" s="141">
        <f t="shared" si="8"/>
        <v>0.51300000000000001</v>
      </c>
      <c r="Z25" s="141">
        <f t="shared" si="9"/>
        <v>0.23800000000000002</v>
      </c>
      <c r="AA25" s="141">
        <f t="shared" si="10"/>
        <v>0.251</v>
      </c>
      <c r="AB25" s="141">
        <f t="shared" si="11"/>
        <v>0.161</v>
      </c>
      <c r="AC25" s="141">
        <f t="shared" si="12"/>
        <v>0.47600000000000003</v>
      </c>
      <c r="AD25" s="141">
        <f t="shared" si="13"/>
        <v>0.18300000000000002</v>
      </c>
      <c r="AE25" s="141">
        <f t="shared" si="14"/>
        <v>0.19800000000000001</v>
      </c>
      <c r="AJ25" s="140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493"/>
      <c r="B26" s="112"/>
      <c r="C26" s="112"/>
      <c r="D26" s="506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140" t="s">
        <v>11</v>
      </c>
      <c r="P26" s="141">
        <f t="shared" si="15"/>
        <v>1</v>
      </c>
      <c r="Q26" s="141">
        <f t="shared" si="0"/>
        <v>1</v>
      </c>
      <c r="R26" s="141">
        <f t="shared" si="1"/>
        <v>1</v>
      </c>
      <c r="S26" s="141">
        <f t="shared" si="2"/>
        <v>1</v>
      </c>
      <c r="T26" s="141">
        <f t="shared" si="3"/>
        <v>1</v>
      </c>
      <c r="U26" s="141">
        <f t="shared" si="4"/>
        <v>1</v>
      </c>
      <c r="V26" s="141">
        <f t="shared" si="5"/>
        <v>1</v>
      </c>
      <c r="W26" s="141">
        <f t="shared" si="6"/>
        <v>1</v>
      </c>
      <c r="X26" s="141">
        <f t="shared" si="7"/>
        <v>1</v>
      </c>
      <c r="Y26" s="141">
        <f t="shared" si="8"/>
        <v>1</v>
      </c>
      <c r="Z26" s="141">
        <f t="shared" si="9"/>
        <v>1</v>
      </c>
      <c r="AA26" s="141">
        <f t="shared" si="10"/>
        <v>1</v>
      </c>
      <c r="AB26" s="141">
        <f t="shared" si="11"/>
        <v>1</v>
      </c>
      <c r="AC26" s="141">
        <f t="shared" si="12"/>
        <v>1</v>
      </c>
      <c r="AD26" s="141">
        <f t="shared" si="13"/>
        <v>1</v>
      </c>
      <c r="AE26" s="141">
        <f t="shared" si="14"/>
        <v>1</v>
      </c>
      <c r="AJ26" s="140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493"/>
      <c r="B27" s="112"/>
      <c r="C27" s="112"/>
      <c r="D27" s="11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493"/>
      <c r="B28" s="112"/>
      <c r="C28" s="112"/>
      <c r="D28" s="111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493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493"/>
      <c r="B30" s="113"/>
      <c r="C30" s="501" t="s">
        <v>13</v>
      </c>
      <c r="D30" s="502"/>
      <c r="E30" s="503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493"/>
      <c r="B31" s="110" t="s">
        <v>300</v>
      </c>
      <c r="C31" s="501" t="s">
        <v>301</v>
      </c>
      <c r="D31" s="502"/>
      <c r="E31" s="503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493"/>
      <c r="B32" s="111" t="s">
        <v>20</v>
      </c>
      <c r="C32" s="501" t="s">
        <v>302</v>
      </c>
      <c r="D32" s="502"/>
      <c r="E32" s="503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48">
      <c r="A33" s="493"/>
      <c r="B33" s="111" t="s">
        <v>19</v>
      </c>
      <c r="C33" s="501" t="s">
        <v>303</v>
      </c>
      <c r="D33" s="502"/>
      <c r="E33" s="503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48" ht="17.5" thickBot="1">
      <c r="A34" s="493"/>
      <c r="B34" s="112"/>
      <c r="C34" s="501" t="s">
        <v>304</v>
      </c>
      <c r="D34" s="502"/>
      <c r="E34" s="503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48" ht="18" thickTop="1" thickBot="1">
      <c r="A35" s="493"/>
      <c r="B35" s="112"/>
      <c r="C35" s="501" t="s">
        <v>305</v>
      </c>
      <c r="D35" s="502"/>
      <c r="E35" s="503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476" t="s">
        <v>1</v>
      </c>
      <c r="AD35" s="507"/>
      <c r="AE35" s="507"/>
      <c r="AF35" s="507"/>
      <c r="AG35" s="477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48" ht="18" thickTop="1" thickBot="1">
      <c r="A36" s="479"/>
      <c r="B36" s="119"/>
      <c r="C36" s="508" t="s">
        <v>47</v>
      </c>
      <c r="D36" s="509"/>
      <c r="E36" s="510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478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48" ht="17.5" thickTop="1">
      <c r="A37" s="512" t="s">
        <v>306</v>
      </c>
      <c r="B37" s="513" t="s">
        <v>26</v>
      </c>
      <c r="C37" s="514"/>
      <c r="D37" s="514"/>
      <c r="E37" s="515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493"/>
      <c r="AD37" s="111" t="s">
        <v>19</v>
      </c>
      <c r="AE37" s="111" t="s">
        <v>294</v>
      </c>
      <c r="AF37" s="111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48">
      <c r="A38" s="493"/>
      <c r="B38" s="110" t="s">
        <v>289</v>
      </c>
      <c r="C38" s="501" t="s">
        <v>11</v>
      </c>
      <c r="D38" s="502"/>
      <c r="E38" s="503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493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48">
      <c r="A39" s="493"/>
      <c r="B39" s="111" t="s">
        <v>290</v>
      </c>
      <c r="C39" s="110" t="s">
        <v>291</v>
      </c>
      <c r="D39" s="501" t="s">
        <v>292</v>
      </c>
      <c r="E39" s="503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493"/>
      <c r="AD39" s="112"/>
      <c r="AE39" s="113"/>
      <c r="AF39" s="501" t="s">
        <v>166</v>
      </c>
      <c r="AG39" s="503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48">
      <c r="A40" s="493"/>
      <c r="B40" s="111" t="s">
        <v>19</v>
      </c>
      <c r="C40" s="116" t="s">
        <v>289</v>
      </c>
      <c r="D40" s="501" t="s">
        <v>293</v>
      </c>
      <c r="E40" s="503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493"/>
      <c r="AD40" s="112"/>
      <c r="AE40" s="110" t="s">
        <v>315</v>
      </c>
      <c r="AF40" s="501" t="s">
        <v>9</v>
      </c>
      <c r="AG40" s="503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48">
      <c r="A41" s="493"/>
      <c r="B41" s="112"/>
      <c r="C41" s="110" t="s">
        <v>294</v>
      </c>
      <c r="D41" s="501" t="s">
        <v>292</v>
      </c>
      <c r="E41" s="503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493"/>
      <c r="AD41" s="113"/>
      <c r="AE41" s="116" t="s">
        <v>316</v>
      </c>
      <c r="AF41" s="501" t="s">
        <v>10</v>
      </c>
      <c r="AG41" s="503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48">
      <c r="A42" s="493"/>
      <c r="B42" s="112"/>
      <c r="C42" s="111" t="s">
        <v>289</v>
      </c>
      <c r="D42" s="504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493"/>
      <c r="AD42" s="516" t="s">
        <v>250</v>
      </c>
      <c r="AE42" s="517"/>
      <c r="AF42" s="501" t="s">
        <v>9</v>
      </c>
      <c r="AG42" s="503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48">
      <c r="A43" s="493"/>
      <c r="B43" s="112"/>
      <c r="C43" s="112"/>
      <c r="D43" s="505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11"/>
      <c r="AD43" s="518"/>
      <c r="AE43" s="519"/>
      <c r="AF43" s="501" t="s">
        <v>10</v>
      </c>
      <c r="AG43" s="503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48" ht="29">
      <c r="A44" s="493"/>
      <c r="B44" s="112"/>
      <c r="C44" s="112"/>
      <c r="D44" s="506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20" t="s">
        <v>306</v>
      </c>
      <c r="AD44" s="110" t="s">
        <v>313</v>
      </c>
      <c r="AE44" s="110" t="s">
        <v>291</v>
      </c>
      <c r="AF44" s="11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  <c r="AT44" t="s">
        <v>216</v>
      </c>
      <c r="AU44" t="s">
        <v>148</v>
      </c>
      <c r="AV44" s="32" t="s">
        <v>74</v>
      </c>
    </row>
    <row r="45" spans="1:48">
      <c r="A45" s="493"/>
      <c r="B45" s="112"/>
      <c r="C45" s="112"/>
      <c r="D45" s="11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493"/>
      <c r="AD45" s="111" t="s">
        <v>19</v>
      </c>
      <c r="AE45" s="111" t="s">
        <v>294</v>
      </c>
      <c r="AF45" s="111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  <c r="AT45" t="s">
        <v>135</v>
      </c>
      <c r="AU45" t="s">
        <v>73</v>
      </c>
      <c r="AV45" s="75"/>
    </row>
    <row r="46" spans="1:48" ht="29">
      <c r="A46" s="493"/>
      <c r="B46" s="112"/>
      <c r="C46" s="112"/>
      <c r="D46" s="111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493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  <c r="AT46" t="s">
        <v>135</v>
      </c>
      <c r="AU46" t="s">
        <v>217</v>
      </c>
      <c r="AV46" s="75"/>
    </row>
    <row r="47" spans="1:48">
      <c r="A47" s="493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493"/>
      <c r="AD47" s="112"/>
      <c r="AE47" s="113"/>
      <c r="AF47" s="501" t="s">
        <v>166</v>
      </c>
      <c r="AG47" s="503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  <c r="AT47" t="s">
        <v>135</v>
      </c>
      <c r="AU47" t="s">
        <v>359</v>
      </c>
      <c r="AV47" s="75"/>
    </row>
    <row r="48" spans="1:48">
      <c r="A48" s="493"/>
      <c r="B48" s="113"/>
      <c r="C48" s="501" t="s">
        <v>13</v>
      </c>
      <c r="D48" s="502"/>
      <c r="E48" s="503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493"/>
      <c r="AD48" s="112"/>
      <c r="AE48" s="110" t="s">
        <v>315</v>
      </c>
      <c r="AF48" s="501" t="s">
        <v>9</v>
      </c>
      <c r="AG48" s="503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  <c r="AT48" t="s">
        <v>135</v>
      </c>
      <c r="AU48" t="s">
        <v>360</v>
      </c>
      <c r="AV48" s="75"/>
    </row>
    <row r="49" spans="1:48">
      <c r="A49" s="493"/>
      <c r="B49" s="110" t="s">
        <v>300</v>
      </c>
      <c r="C49" s="501" t="s">
        <v>301</v>
      </c>
      <c r="D49" s="502"/>
      <c r="E49" s="503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493"/>
      <c r="AD49" s="113"/>
      <c r="AE49" s="116" t="s">
        <v>316</v>
      </c>
      <c r="AF49" s="501" t="s">
        <v>10</v>
      </c>
      <c r="AG49" s="503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  <c r="AT49" t="s">
        <v>135</v>
      </c>
      <c r="AU49" t="s">
        <v>361</v>
      </c>
      <c r="AV49" s="75"/>
    </row>
    <row r="50" spans="1:48">
      <c r="A50" s="493"/>
      <c r="B50" s="111" t="s">
        <v>20</v>
      </c>
      <c r="C50" s="501" t="s">
        <v>302</v>
      </c>
      <c r="D50" s="502"/>
      <c r="E50" s="503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493"/>
      <c r="AD50" s="516" t="s">
        <v>250</v>
      </c>
      <c r="AE50" s="517"/>
      <c r="AF50" s="501" t="s">
        <v>9</v>
      </c>
      <c r="AG50" s="503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  <c r="AT50" t="s">
        <v>135</v>
      </c>
      <c r="AU50" t="s">
        <v>362</v>
      </c>
      <c r="AV50" s="75"/>
    </row>
    <row r="51" spans="1:48" ht="17.5" thickBot="1">
      <c r="A51" s="493"/>
      <c r="B51" s="111" t="s">
        <v>19</v>
      </c>
      <c r="C51" s="501" t="s">
        <v>303</v>
      </c>
      <c r="D51" s="502"/>
      <c r="E51" s="503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479"/>
      <c r="AD51" s="525"/>
      <c r="AE51" s="526"/>
      <c r="AF51" s="508" t="s">
        <v>10</v>
      </c>
      <c r="AG51" s="510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  <c r="AT51" t="s">
        <v>135</v>
      </c>
      <c r="AU51" t="s">
        <v>363</v>
      </c>
      <c r="AV51" s="75"/>
    </row>
    <row r="52" spans="1:48" ht="17.5" thickTop="1">
      <c r="A52" s="493"/>
      <c r="B52" s="112"/>
      <c r="C52" s="501" t="s">
        <v>304</v>
      </c>
      <c r="D52" s="502"/>
      <c r="E52" s="503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  <c r="AT52" t="s">
        <v>370</v>
      </c>
      <c r="AU52" t="s">
        <v>371</v>
      </c>
      <c r="AV52" s="75"/>
    </row>
    <row r="53" spans="1:48">
      <c r="A53" s="493"/>
      <c r="B53" s="112"/>
      <c r="C53" s="501" t="s">
        <v>305</v>
      </c>
      <c r="D53" s="502"/>
      <c r="E53" s="503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  <c r="AT53" t="s">
        <v>370</v>
      </c>
      <c r="AU53" t="s">
        <v>76</v>
      </c>
      <c r="AV53" s="75"/>
    </row>
    <row r="54" spans="1:48" ht="17.5" thickBot="1">
      <c r="A54" s="479"/>
      <c r="B54" s="119"/>
      <c r="C54" s="508" t="s">
        <v>47</v>
      </c>
      <c r="D54" s="509"/>
      <c r="E54" s="510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  <c r="AT54" t="s">
        <v>370</v>
      </c>
      <c r="AU54" t="s">
        <v>220</v>
      </c>
      <c r="AV54" s="75"/>
    </row>
    <row r="55" spans="1:48" ht="17.5" thickTop="1">
      <c r="AT55" t="s">
        <v>370</v>
      </c>
      <c r="AU55" t="s">
        <v>221</v>
      </c>
      <c r="AV55" s="75"/>
    </row>
    <row r="56" spans="1:48">
      <c r="AT56" t="s">
        <v>370</v>
      </c>
      <c r="AU56" t="s">
        <v>372</v>
      </c>
      <c r="AV56" s="75"/>
    </row>
    <row r="57" spans="1:48" ht="34">
      <c r="AT57" s="163" t="s">
        <v>374</v>
      </c>
      <c r="AU57" t="s">
        <v>373</v>
      </c>
      <c r="AV57" s="75"/>
    </row>
    <row r="58" spans="1:48" ht="23">
      <c r="A58" s="154" t="s">
        <v>333</v>
      </c>
      <c r="Z58" s="154" t="s">
        <v>336</v>
      </c>
      <c r="AJ58" s="102" t="s">
        <v>338</v>
      </c>
      <c r="AT58" t="s">
        <v>375</v>
      </c>
      <c r="AU58" t="s">
        <v>376</v>
      </c>
      <c r="AV58" s="75"/>
    </row>
    <row r="59" spans="1:48">
      <c r="A59" s="32" t="s">
        <v>308</v>
      </c>
      <c r="W59" t="s">
        <v>317</v>
      </c>
      <c r="Z59" s="32" t="s">
        <v>308</v>
      </c>
      <c r="AJ59" s="32" t="s">
        <v>308</v>
      </c>
      <c r="AT59" t="s">
        <v>375</v>
      </c>
      <c r="AU59" t="s">
        <v>79</v>
      </c>
      <c r="AV59" s="75"/>
    </row>
    <row r="60" spans="1:48" ht="18" customHeight="1" thickBot="1">
      <c r="F60" s="658" t="s">
        <v>319</v>
      </c>
      <c r="G60" s="658"/>
      <c r="H60" s="658"/>
      <c r="I60" s="658"/>
      <c r="J60" s="658"/>
      <c r="K60" s="658"/>
      <c r="L60" s="658" t="s">
        <v>320</v>
      </c>
      <c r="M60" s="658"/>
      <c r="N60" s="658"/>
      <c r="O60" s="658"/>
      <c r="P60" s="658"/>
      <c r="Q60" s="658"/>
      <c r="R60" s="658" t="s">
        <v>321</v>
      </c>
      <c r="S60" s="658"/>
      <c r="T60" s="658"/>
      <c r="U60" s="658"/>
      <c r="V60" s="658"/>
      <c r="W60" s="658"/>
      <c r="AE60" s="32" t="s">
        <v>334</v>
      </c>
      <c r="AF60" s="32" t="s">
        <v>335</v>
      </c>
      <c r="AG60" s="32" t="s">
        <v>321</v>
      </c>
      <c r="AO60" s="32" t="s">
        <v>334</v>
      </c>
      <c r="AP60" s="32" t="s">
        <v>335</v>
      </c>
      <c r="AQ60" s="32" t="s">
        <v>321</v>
      </c>
      <c r="AT60" t="s">
        <v>375</v>
      </c>
      <c r="AU60" t="s">
        <v>223</v>
      </c>
      <c r="AV60" s="75"/>
    </row>
    <row r="61" spans="1:48" ht="34">
      <c r="A61" s="521" t="s">
        <v>307</v>
      </c>
      <c r="B61" s="522"/>
      <c r="C61" s="522"/>
      <c r="D61" s="522"/>
      <c r="E61" s="523"/>
      <c r="F61" s="142" t="s">
        <v>165</v>
      </c>
      <c r="G61" s="143"/>
      <c r="H61" s="143"/>
      <c r="I61" s="522" t="s">
        <v>328</v>
      </c>
      <c r="J61" s="522" t="s">
        <v>329</v>
      </c>
      <c r="K61" s="522" t="s">
        <v>330</v>
      </c>
      <c r="L61" s="143"/>
      <c r="M61" s="143"/>
      <c r="N61" s="143"/>
      <c r="O61" s="522" t="s">
        <v>328</v>
      </c>
      <c r="P61" s="522" t="s">
        <v>329</v>
      </c>
      <c r="Q61" s="522" t="s">
        <v>330</v>
      </c>
      <c r="R61" s="143"/>
      <c r="S61" s="143"/>
      <c r="T61" s="144"/>
      <c r="U61" s="522" t="s">
        <v>328</v>
      </c>
      <c r="V61" s="522" t="s">
        <v>329</v>
      </c>
      <c r="W61" s="656" t="s">
        <v>330</v>
      </c>
      <c r="Z61" s="521" t="s">
        <v>307</v>
      </c>
      <c r="AA61" s="522"/>
      <c r="AB61" s="522"/>
      <c r="AC61" s="522"/>
      <c r="AD61" s="523"/>
      <c r="AJ61" s="521" t="s">
        <v>307</v>
      </c>
      <c r="AK61" s="522"/>
      <c r="AL61" s="522"/>
      <c r="AM61" s="522"/>
      <c r="AN61" s="523"/>
      <c r="AT61" s="163" t="s">
        <v>378</v>
      </c>
      <c r="AU61" t="s">
        <v>377</v>
      </c>
      <c r="AV61" s="75"/>
    </row>
    <row r="62" spans="1:48" ht="17.5" thickBot="1">
      <c r="A62" s="524"/>
      <c r="B62" s="484"/>
      <c r="C62" s="484"/>
      <c r="D62" s="484"/>
      <c r="E62" s="485"/>
      <c r="F62" s="148" t="s">
        <v>44</v>
      </c>
      <c r="G62" s="148" t="s">
        <v>45</v>
      </c>
      <c r="H62" s="148" t="s">
        <v>46</v>
      </c>
      <c r="I62" s="655"/>
      <c r="J62" s="655"/>
      <c r="K62" s="655"/>
      <c r="L62" s="148" t="s">
        <v>44</v>
      </c>
      <c r="M62" s="148" t="s">
        <v>45</v>
      </c>
      <c r="N62" s="148" t="s">
        <v>46</v>
      </c>
      <c r="O62" s="655"/>
      <c r="P62" s="655"/>
      <c r="Q62" s="655"/>
      <c r="R62" s="148" t="s">
        <v>44</v>
      </c>
      <c r="S62" s="148" t="s">
        <v>45</v>
      </c>
      <c r="T62" s="148" t="s">
        <v>46</v>
      </c>
      <c r="U62" s="655"/>
      <c r="V62" s="655"/>
      <c r="W62" s="657"/>
      <c r="Z62" s="524"/>
      <c r="AA62" s="484"/>
      <c r="AB62" s="484"/>
      <c r="AC62" s="484"/>
      <c r="AD62" s="485"/>
      <c r="AJ62" s="524"/>
      <c r="AK62" s="484"/>
      <c r="AL62" s="484"/>
      <c r="AM62" s="484"/>
      <c r="AN62" s="485"/>
      <c r="AT62" t="s">
        <v>379</v>
      </c>
      <c r="AU62" t="s">
        <v>380</v>
      </c>
      <c r="AV62" s="75"/>
    </row>
    <row r="63" spans="1:48" ht="17.5" thickTop="1">
      <c r="A63" s="145">
        <v>2023</v>
      </c>
      <c r="B63" s="110" t="s">
        <v>289</v>
      </c>
      <c r="C63" s="110"/>
      <c r="D63" s="501" t="s">
        <v>324</v>
      </c>
      <c r="E63" s="502"/>
      <c r="F63" s="149">
        <f>F21*P$22</f>
        <v>177.85900000000001</v>
      </c>
      <c r="G63" s="149">
        <f t="shared" ref="G63:I63" si="16">G21*Q$22</f>
        <v>9.1000000000000014</v>
      </c>
      <c r="H63" s="149">
        <f t="shared" si="16"/>
        <v>140.71799999999999</v>
      </c>
      <c r="I63" s="149">
        <f t="shared" si="16"/>
        <v>113.34399999999999</v>
      </c>
      <c r="J63" s="149">
        <f t="shared" ref="J63" si="17">J21*T$22</f>
        <v>0</v>
      </c>
      <c r="K63" s="149">
        <f t="shared" ref="K63" si="18">K21*U$22</f>
        <v>0</v>
      </c>
      <c r="L63" s="149">
        <f>F21*P$23</f>
        <v>25.783000000000001</v>
      </c>
      <c r="M63" s="149">
        <f>G21*Q$23</f>
        <v>3.12</v>
      </c>
      <c r="N63" s="149">
        <f>H21*R$23</f>
        <v>34.930000000000007</v>
      </c>
      <c r="O63" s="149">
        <f>I21*S$23</f>
        <v>33.152000000000001</v>
      </c>
      <c r="P63" s="149">
        <f t="shared" ref="P63:Q63" si="19">J21*T$23</f>
        <v>0</v>
      </c>
      <c r="Q63" s="149">
        <f t="shared" si="19"/>
        <v>0</v>
      </c>
      <c r="R63" s="101">
        <f>F21*P$24</f>
        <v>175.23700000000002</v>
      </c>
      <c r="S63" s="101">
        <f>G21*Q$24</f>
        <v>50.83</v>
      </c>
      <c r="T63" s="101">
        <f>H21*R$24</f>
        <v>203.59199999999998</v>
      </c>
      <c r="U63" s="101">
        <f>I21*S$24</f>
        <v>188.16</v>
      </c>
      <c r="V63" s="101">
        <f t="shared" ref="V63:W63" si="20">J21*T$24</f>
        <v>0</v>
      </c>
      <c r="W63" s="150">
        <f t="shared" si="20"/>
        <v>0</v>
      </c>
      <c r="Z63" s="145">
        <v>2023</v>
      </c>
      <c r="AA63" s="110" t="s">
        <v>289</v>
      </c>
      <c r="AB63" s="110"/>
      <c r="AC63" s="501" t="s">
        <v>324</v>
      </c>
      <c r="AD63" s="502"/>
      <c r="AE63" s="34">
        <f>SUM(F63:K63)</f>
        <v>441.02100000000002</v>
      </c>
      <c r="AF63" s="34">
        <f>SUM(L63:Q63)</f>
        <v>96.985000000000014</v>
      </c>
      <c r="AG63" s="34">
        <f>SUM(R63:W63)</f>
        <v>617.81899999999996</v>
      </c>
      <c r="AI63" t="s">
        <v>364</v>
      </c>
      <c r="AJ63" s="145">
        <v>2023</v>
      </c>
      <c r="AK63" s="110" t="s">
        <v>289</v>
      </c>
      <c r="AL63" s="110"/>
      <c r="AM63" s="501" t="s">
        <v>324</v>
      </c>
      <c r="AN63" s="502"/>
      <c r="AO63" s="159">
        <f>AE63/$P$31</f>
        <v>277.37169811320751</v>
      </c>
      <c r="AP63" s="159">
        <f>AF63/$Q$31</f>
        <v>57.050000000000011</v>
      </c>
      <c r="AQ63" s="159">
        <f>AG63/$R$31</f>
        <v>20.593966666666667</v>
      </c>
      <c r="AT63" t="s">
        <v>379</v>
      </c>
      <c r="AU63" t="s">
        <v>381</v>
      </c>
      <c r="AV63" s="75"/>
    </row>
    <row r="64" spans="1:48">
      <c r="A64" s="145"/>
      <c r="B64" s="111" t="s">
        <v>290</v>
      </c>
      <c r="C64" s="112"/>
      <c r="D64" s="505" t="s">
        <v>322</v>
      </c>
      <c r="E64" s="41" t="s">
        <v>296</v>
      </c>
      <c r="F64" s="149">
        <f>F25*P$22</f>
        <v>3870.9770000000003</v>
      </c>
      <c r="G64" s="149">
        <f t="shared" ref="G64:I64" si="21">G25*Q$22</f>
        <v>198.87000000000003</v>
      </c>
      <c r="H64" s="149">
        <f t="shared" si="21"/>
        <v>3063.3659999999995</v>
      </c>
      <c r="I64" s="149">
        <f t="shared" si="21"/>
        <v>3060.5410000000002</v>
      </c>
      <c r="J64" s="149">
        <f t="shared" ref="J64:J65" si="22">J25*T$22</f>
        <v>0</v>
      </c>
      <c r="K64" s="149">
        <f t="shared" ref="K64:K65" si="23">K25*U$22</f>
        <v>0</v>
      </c>
      <c r="L64" s="101">
        <f t="shared" ref="L64:O65" si="24">F25*P$23</f>
        <v>561.149</v>
      </c>
      <c r="M64" s="101">
        <f t="shared" si="24"/>
        <v>68.183999999999997</v>
      </c>
      <c r="N64" s="101">
        <f t="shared" si="24"/>
        <v>760.41000000000008</v>
      </c>
      <c r="O64" s="101">
        <f t="shared" si="24"/>
        <v>895.17800000000011</v>
      </c>
      <c r="P64" s="101">
        <f t="shared" ref="P64:Q64" si="25">J25*T$23</f>
        <v>0</v>
      </c>
      <c r="Q64" s="101">
        <f t="shared" si="25"/>
        <v>0</v>
      </c>
      <c r="R64" s="101">
        <f t="shared" ref="R64:U65" si="26">F25*P$24</f>
        <v>3813.9110000000001</v>
      </c>
      <c r="S64" s="101">
        <f t="shared" si="26"/>
        <v>1110.8310000000001</v>
      </c>
      <c r="T64" s="101">
        <f t="shared" si="26"/>
        <v>4432.1039999999994</v>
      </c>
      <c r="U64" s="101">
        <f t="shared" si="26"/>
        <v>5080.74</v>
      </c>
      <c r="V64" s="101">
        <f t="shared" ref="V64:W64" si="27">J25*T$24</f>
        <v>0</v>
      </c>
      <c r="W64" s="150">
        <f t="shared" si="27"/>
        <v>0</v>
      </c>
      <c r="Z64" s="145"/>
      <c r="AA64" s="111" t="s">
        <v>290</v>
      </c>
      <c r="AB64" s="112"/>
      <c r="AC64" s="505" t="s">
        <v>322</v>
      </c>
      <c r="AD64" s="41" t="s">
        <v>296</v>
      </c>
      <c r="AE64" s="34">
        <f t="shared" ref="AE64:AE74" si="28">SUM(F64:K64)</f>
        <v>10193.754000000001</v>
      </c>
      <c r="AF64" s="34">
        <f t="shared" ref="AF64:AF74" si="29">SUM(L64:Q64)</f>
        <v>2284.9210000000003</v>
      </c>
      <c r="AG64" s="34">
        <f t="shared" ref="AG64:AG74" si="30">SUM(R64:W64)</f>
        <v>14437.585999999999</v>
      </c>
      <c r="AI64" t="s">
        <v>365</v>
      </c>
      <c r="AJ64" s="145"/>
      <c r="AK64" s="111" t="s">
        <v>290</v>
      </c>
      <c r="AL64" s="112"/>
      <c r="AM64" s="505" t="s">
        <v>322</v>
      </c>
      <c r="AN64" s="41" t="s">
        <v>296</v>
      </c>
      <c r="AO64" s="159">
        <f t="shared" ref="AO64:AO74" si="31">AE64/$P$31</f>
        <v>6411.1660377358494</v>
      </c>
      <c r="AP64" s="159">
        <f t="shared" ref="AP64:AP74" si="32">AF64/$Q$31</f>
        <v>1344.0711764705884</v>
      </c>
      <c r="AQ64" s="159">
        <f t="shared" ref="AQ64:AQ74" si="33">AG64/$R$31</f>
        <v>481.25286666666665</v>
      </c>
      <c r="AT64" t="s">
        <v>379</v>
      </c>
      <c r="AU64" t="s">
        <v>382</v>
      </c>
      <c r="AV64" s="75"/>
    </row>
    <row r="65" spans="1:48" ht="29">
      <c r="A65" s="145"/>
      <c r="B65" s="111" t="s">
        <v>19</v>
      </c>
      <c r="C65" s="112"/>
      <c r="D65" s="506"/>
      <c r="E65" s="41" t="s">
        <v>297</v>
      </c>
      <c r="F65" s="149">
        <f>F26*P$22</f>
        <v>2909.643</v>
      </c>
      <c r="G65" s="149">
        <f t="shared" ref="G65:I65" si="34">G26*Q$22</f>
        <v>149.52000000000001</v>
      </c>
      <c r="H65" s="149">
        <f t="shared" si="34"/>
        <v>2302.5299999999997</v>
      </c>
      <c r="I65" s="149">
        <f t="shared" si="34"/>
        <v>1857.02</v>
      </c>
      <c r="J65" s="149">
        <f t="shared" si="22"/>
        <v>0</v>
      </c>
      <c r="K65" s="149">
        <f t="shared" si="23"/>
        <v>0</v>
      </c>
      <c r="L65" s="101">
        <f t="shared" si="24"/>
        <v>421.79100000000005</v>
      </c>
      <c r="M65" s="101">
        <f t="shared" si="24"/>
        <v>51.264000000000003</v>
      </c>
      <c r="N65" s="101">
        <f t="shared" si="24"/>
        <v>571.55000000000007</v>
      </c>
      <c r="O65" s="101">
        <f t="shared" si="24"/>
        <v>543.16000000000008</v>
      </c>
      <c r="P65" s="101">
        <f t="shared" ref="P65:Q65" si="35">J26*T$23</f>
        <v>0</v>
      </c>
      <c r="Q65" s="101">
        <f t="shared" si="35"/>
        <v>0</v>
      </c>
      <c r="R65" s="101">
        <f t="shared" si="26"/>
        <v>2866.7490000000003</v>
      </c>
      <c r="S65" s="101">
        <f t="shared" si="26"/>
        <v>835.17600000000004</v>
      </c>
      <c r="T65" s="101">
        <f t="shared" si="26"/>
        <v>3331.3199999999997</v>
      </c>
      <c r="U65" s="101">
        <f t="shared" si="26"/>
        <v>3082.7999999999997</v>
      </c>
      <c r="V65" s="101">
        <f t="shared" ref="V65:W65" si="36">J26*T$24</f>
        <v>0</v>
      </c>
      <c r="W65" s="150">
        <f t="shared" si="36"/>
        <v>0</v>
      </c>
      <c r="Z65" s="145"/>
      <c r="AA65" s="111" t="s">
        <v>19</v>
      </c>
      <c r="AB65" s="112"/>
      <c r="AC65" s="506"/>
      <c r="AD65" s="41" t="s">
        <v>297</v>
      </c>
      <c r="AE65" s="34">
        <f t="shared" si="28"/>
        <v>7218.7129999999997</v>
      </c>
      <c r="AF65" s="34">
        <f t="shared" si="29"/>
        <v>1587.7650000000001</v>
      </c>
      <c r="AG65" s="34">
        <f t="shared" si="30"/>
        <v>10116.045</v>
      </c>
      <c r="AI65" t="s">
        <v>366</v>
      </c>
      <c r="AJ65" s="145"/>
      <c r="AK65" s="111" t="s">
        <v>19</v>
      </c>
      <c r="AL65" s="112"/>
      <c r="AM65" s="506"/>
      <c r="AN65" s="41" t="s">
        <v>297</v>
      </c>
      <c r="AO65" s="159">
        <f t="shared" si="31"/>
        <v>4540.0710691823897</v>
      </c>
      <c r="AP65" s="159">
        <f t="shared" si="32"/>
        <v>933.97941176470601</v>
      </c>
      <c r="AQ65" s="159">
        <f t="shared" si="33"/>
        <v>337.20150000000001</v>
      </c>
      <c r="AT65" t="s">
        <v>379</v>
      </c>
      <c r="AU65" t="s">
        <v>383</v>
      </c>
      <c r="AV65" s="75"/>
    </row>
    <row r="66" spans="1:48" ht="16.5" customHeight="1">
      <c r="A66" s="145"/>
      <c r="B66" s="112"/>
      <c r="C66" s="112"/>
      <c r="D66" s="111" t="s">
        <v>323</v>
      </c>
      <c r="E66" s="41" t="s">
        <v>297</v>
      </c>
      <c r="F66" s="149">
        <f t="shared" ref="F66:F74" si="37">F28*P$22</f>
        <v>468.05</v>
      </c>
      <c r="G66" s="149">
        <f t="shared" ref="G66:I66" si="38">G28*Q$22</f>
        <v>24.01</v>
      </c>
      <c r="H66" s="149">
        <f t="shared" si="38"/>
        <v>370.26599999999996</v>
      </c>
      <c r="I66" s="149">
        <f t="shared" si="38"/>
        <v>298.79300000000001</v>
      </c>
      <c r="J66" s="149">
        <f t="shared" ref="J66:J67" si="39">J28*T$22</f>
        <v>0</v>
      </c>
      <c r="K66" s="149">
        <f t="shared" ref="K66:K67" si="40">K28*U$22</f>
        <v>0</v>
      </c>
      <c r="L66" s="101">
        <f t="shared" ref="L66:L74" si="41">F28*P$23</f>
        <v>67.850000000000009</v>
      </c>
      <c r="M66" s="101">
        <f t="shared" ref="M66:M74" si="42">G28*Q$23</f>
        <v>8.2319999999999993</v>
      </c>
      <c r="N66" s="101">
        <f t="shared" ref="N66:N74" si="43">H28*R$23</f>
        <v>91.910000000000011</v>
      </c>
      <c r="O66" s="101">
        <f t="shared" ref="O66:O74" si="44">I28*S$23</f>
        <v>87.394000000000005</v>
      </c>
      <c r="P66" s="101">
        <f t="shared" ref="P66:Q66" si="45">J28*T$23</f>
        <v>0</v>
      </c>
      <c r="Q66" s="101">
        <f t="shared" si="45"/>
        <v>0</v>
      </c>
      <c r="R66" s="101">
        <f t="shared" ref="R66:R74" si="46">F28*P$24</f>
        <v>461.15000000000003</v>
      </c>
      <c r="S66" s="101">
        <f t="shared" ref="S66:S74" si="47">G28*Q$24</f>
        <v>134.113</v>
      </c>
      <c r="T66" s="101">
        <f t="shared" ref="T66:T74" si="48">H28*R$24</f>
        <v>535.70399999999995</v>
      </c>
      <c r="U66" s="101">
        <f t="shared" ref="U66:U74" si="49">I28*S$24</f>
        <v>496.02</v>
      </c>
      <c r="V66" s="101">
        <f t="shared" ref="V66:W66" si="50">J28*T$24</f>
        <v>0</v>
      </c>
      <c r="W66" s="150">
        <f t="shared" si="50"/>
        <v>0</v>
      </c>
      <c r="Z66" s="145"/>
      <c r="AA66" s="112"/>
      <c r="AB66" s="112"/>
      <c r="AC66" s="111" t="s">
        <v>323</v>
      </c>
      <c r="AD66" s="41" t="s">
        <v>297</v>
      </c>
      <c r="AE66" s="34">
        <f t="shared" si="28"/>
        <v>1161.1190000000001</v>
      </c>
      <c r="AF66" s="34">
        <f t="shared" si="29"/>
        <v>255.38600000000002</v>
      </c>
      <c r="AG66" s="34">
        <f t="shared" si="30"/>
        <v>1626.9870000000001</v>
      </c>
      <c r="AI66" t="s">
        <v>367</v>
      </c>
      <c r="AJ66" s="145"/>
      <c r="AK66" s="112"/>
      <c r="AL66" s="112"/>
      <c r="AM66" s="111" t="s">
        <v>323</v>
      </c>
      <c r="AN66" s="41" t="s">
        <v>297</v>
      </c>
      <c r="AO66" s="159">
        <f t="shared" si="31"/>
        <v>730.26352201257862</v>
      </c>
      <c r="AP66" s="159">
        <f t="shared" si="32"/>
        <v>150.22705882352943</v>
      </c>
      <c r="AQ66" s="159">
        <f t="shared" si="33"/>
        <v>54.232900000000001</v>
      </c>
      <c r="AT66" t="s">
        <v>384</v>
      </c>
      <c r="AU66" t="s">
        <v>385</v>
      </c>
      <c r="AV66" s="75"/>
    </row>
    <row r="67" spans="1:48">
      <c r="A67" s="145"/>
      <c r="B67" s="112"/>
      <c r="C67" s="113"/>
      <c r="D67" s="113"/>
      <c r="E67" s="41" t="s">
        <v>299</v>
      </c>
      <c r="F67" s="149">
        <f t="shared" si="37"/>
        <v>818.88400000000001</v>
      </c>
      <c r="G67" s="149">
        <f t="shared" ref="G67" si="51">G29*Q$22</f>
        <v>42.070000000000007</v>
      </c>
      <c r="H67" s="149">
        <f t="shared" ref="H67" si="52">H29*R$22</f>
        <v>648.03599999999994</v>
      </c>
      <c r="I67" s="149">
        <f t="shared" ref="I67" si="53">I29*S$22</f>
        <v>522.69799999999998</v>
      </c>
      <c r="J67" s="149">
        <f t="shared" si="39"/>
        <v>0</v>
      </c>
      <c r="K67" s="149">
        <f t="shared" si="40"/>
        <v>0</v>
      </c>
      <c r="L67" s="101">
        <f t="shared" si="41"/>
        <v>118.70800000000001</v>
      </c>
      <c r="M67" s="101">
        <f t="shared" si="42"/>
        <v>14.423999999999999</v>
      </c>
      <c r="N67" s="101">
        <f t="shared" si="43"/>
        <v>160.86000000000001</v>
      </c>
      <c r="O67" s="101">
        <f t="shared" si="44"/>
        <v>152.88400000000001</v>
      </c>
      <c r="P67" s="101">
        <f t="shared" ref="P67:Q67" si="54">J29*T$23</f>
        <v>0</v>
      </c>
      <c r="Q67" s="101">
        <f t="shared" si="54"/>
        <v>0</v>
      </c>
      <c r="R67" s="101">
        <f t="shared" si="46"/>
        <v>806.81200000000001</v>
      </c>
      <c r="S67" s="101">
        <f t="shared" si="47"/>
        <v>234.99100000000001</v>
      </c>
      <c r="T67" s="101">
        <f t="shared" si="48"/>
        <v>937.58399999999995</v>
      </c>
      <c r="U67" s="101">
        <f t="shared" si="49"/>
        <v>867.71999999999991</v>
      </c>
      <c r="V67" s="101">
        <f t="shared" ref="V67:W67" si="55">J29*T$24</f>
        <v>0</v>
      </c>
      <c r="W67" s="150">
        <f t="shared" si="55"/>
        <v>0</v>
      </c>
      <c r="Z67" s="145"/>
      <c r="AA67" s="112"/>
      <c r="AB67" s="113"/>
      <c r="AC67" s="113"/>
      <c r="AD67" s="41" t="s">
        <v>299</v>
      </c>
      <c r="AE67" s="34">
        <f t="shared" si="28"/>
        <v>2031.6880000000001</v>
      </c>
      <c r="AF67" s="34">
        <f t="shared" si="29"/>
        <v>446.87600000000003</v>
      </c>
      <c r="AG67" s="34">
        <f t="shared" si="30"/>
        <v>2847.107</v>
      </c>
      <c r="AJ67" s="145"/>
      <c r="AK67" s="112"/>
      <c r="AL67" s="113"/>
      <c r="AM67" s="113"/>
      <c r="AN67" s="41" t="s">
        <v>299</v>
      </c>
      <c r="AO67" s="159">
        <f t="shared" si="31"/>
        <v>1277.7911949685536</v>
      </c>
      <c r="AP67" s="159">
        <f t="shared" si="32"/>
        <v>262.86823529411765</v>
      </c>
      <c r="AQ67" s="159">
        <f t="shared" si="33"/>
        <v>94.903566666666663</v>
      </c>
      <c r="AT67" t="s">
        <v>384</v>
      </c>
      <c r="AU67" t="s">
        <v>103</v>
      </c>
      <c r="AV67" s="75"/>
    </row>
    <row r="68" spans="1:48">
      <c r="A68" s="145"/>
      <c r="B68" s="113"/>
      <c r="C68" s="501" t="s">
        <v>13</v>
      </c>
      <c r="D68" s="502"/>
      <c r="E68" s="502"/>
      <c r="F68" s="149">
        <f t="shared" si="37"/>
        <v>0</v>
      </c>
      <c r="G68" s="149">
        <f t="shared" ref="G68" si="56">G30*Q$22</f>
        <v>0</v>
      </c>
      <c r="H68" s="149">
        <f t="shared" ref="H68" si="57">H30*R$22</f>
        <v>0</v>
      </c>
      <c r="I68" s="149">
        <f t="shared" ref="I68" si="58">I30*S$22</f>
        <v>0</v>
      </c>
      <c r="J68" s="149">
        <f t="shared" ref="J68" si="59">J30*T$22</f>
        <v>435.97400000000005</v>
      </c>
      <c r="K68" s="149">
        <f t="shared" ref="K68" si="60">K30*U$22</f>
        <v>5032.2450000000008</v>
      </c>
      <c r="L68" s="101">
        <f t="shared" si="41"/>
        <v>0</v>
      </c>
      <c r="M68" s="101">
        <f t="shared" si="42"/>
        <v>0</v>
      </c>
      <c r="N68" s="101">
        <f t="shared" si="43"/>
        <v>0</v>
      </c>
      <c r="O68" s="101">
        <f t="shared" si="44"/>
        <v>0</v>
      </c>
      <c r="P68" s="101">
        <f t="shared" ref="P68" si="61">J30*T$23</f>
        <v>31.140999999999998</v>
      </c>
      <c r="Q68" s="101">
        <f t="shared" ref="Q68" si="62">K30*U$23</f>
        <v>688.62300000000005</v>
      </c>
      <c r="R68" s="101">
        <f t="shared" si="46"/>
        <v>0</v>
      </c>
      <c r="S68" s="101">
        <f t="shared" si="47"/>
        <v>0</v>
      </c>
      <c r="T68" s="101">
        <f t="shared" si="48"/>
        <v>0</v>
      </c>
      <c r="U68" s="101">
        <f t="shared" si="49"/>
        <v>0</v>
      </c>
      <c r="V68" s="101">
        <f t="shared" ref="V68" si="63">J30*T$24</f>
        <v>906.36699999999985</v>
      </c>
      <c r="W68" s="150">
        <f t="shared" ref="W68" si="64">K30*U$24</f>
        <v>3478.4290000000001</v>
      </c>
      <c r="Z68" s="145"/>
      <c r="AA68" s="113"/>
      <c r="AB68" s="501" t="s">
        <v>13</v>
      </c>
      <c r="AC68" s="502"/>
      <c r="AD68" s="502"/>
      <c r="AE68" s="34">
        <f t="shared" si="28"/>
        <v>5468.219000000001</v>
      </c>
      <c r="AF68" s="34">
        <f t="shared" si="29"/>
        <v>719.76400000000001</v>
      </c>
      <c r="AG68" s="34">
        <f t="shared" si="30"/>
        <v>4384.7960000000003</v>
      </c>
      <c r="AI68" t="s">
        <v>387</v>
      </c>
      <c r="AJ68" s="145"/>
      <c r="AK68" s="113"/>
      <c r="AL68" s="501" t="s">
        <v>13</v>
      </c>
      <c r="AM68" s="502"/>
      <c r="AN68" s="502"/>
      <c r="AO68" s="159">
        <f t="shared" si="31"/>
        <v>3439.1314465408809</v>
      </c>
      <c r="AP68" s="159">
        <f t="shared" si="32"/>
        <v>423.39058823529416</v>
      </c>
      <c r="AQ68" s="159">
        <f t="shared" si="33"/>
        <v>146.15986666666669</v>
      </c>
      <c r="AT68" t="s">
        <v>384</v>
      </c>
      <c r="AU68" t="s">
        <v>104</v>
      </c>
      <c r="AV68" s="75"/>
    </row>
    <row r="69" spans="1:48">
      <c r="A69" s="145"/>
      <c r="B69" s="110" t="s">
        <v>300</v>
      </c>
      <c r="C69" s="501" t="s">
        <v>301</v>
      </c>
      <c r="D69" s="502"/>
      <c r="E69" s="502"/>
      <c r="F69" s="149">
        <f t="shared" si="37"/>
        <v>0</v>
      </c>
      <c r="G69" s="149">
        <f t="shared" ref="G69:G74" si="65">G31*Q$22</f>
        <v>0</v>
      </c>
      <c r="H69" s="149">
        <f t="shared" ref="H69:H74" si="66">H31*R$22</f>
        <v>0</v>
      </c>
      <c r="I69" s="149">
        <f t="shared" ref="I69:I74" si="67">I31*S$22</f>
        <v>0</v>
      </c>
      <c r="J69" s="149">
        <f t="shared" ref="J69:J74" si="68">J31*T$22</f>
        <v>7656.2780000000002</v>
      </c>
      <c r="K69" s="149">
        <f t="shared" ref="K69:K74" si="69">K31*U$22</f>
        <v>31583.415000000005</v>
      </c>
      <c r="L69" s="101">
        <f t="shared" si="41"/>
        <v>0</v>
      </c>
      <c r="M69" s="101">
        <f t="shared" si="42"/>
        <v>0</v>
      </c>
      <c r="N69" s="101">
        <f t="shared" si="43"/>
        <v>0</v>
      </c>
      <c r="O69" s="101">
        <f t="shared" si="44"/>
        <v>0</v>
      </c>
      <c r="P69" s="101">
        <f t="shared" ref="P69:P74" si="70">J31*T$23</f>
        <v>546.87699999999995</v>
      </c>
      <c r="Q69" s="101">
        <f t="shared" ref="Q69:Q74" si="71">K31*U$23</f>
        <v>4321.9409999999998</v>
      </c>
      <c r="R69" s="101">
        <f t="shared" si="46"/>
        <v>0</v>
      </c>
      <c r="S69" s="101">
        <f t="shared" si="47"/>
        <v>0</v>
      </c>
      <c r="T69" s="101">
        <f t="shared" si="48"/>
        <v>0</v>
      </c>
      <c r="U69" s="101">
        <f t="shared" si="49"/>
        <v>0</v>
      </c>
      <c r="V69" s="101">
        <f t="shared" ref="V69:V74" si="72">J31*T$24</f>
        <v>15916.998999999998</v>
      </c>
      <c r="W69" s="150">
        <f t="shared" ref="W69:W74" si="73">K31*U$24</f>
        <v>21831.343000000001</v>
      </c>
      <c r="Z69" s="145"/>
      <c r="AA69" s="110" t="s">
        <v>300</v>
      </c>
      <c r="AB69" s="501" t="s">
        <v>301</v>
      </c>
      <c r="AC69" s="502"/>
      <c r="AD69" s="502"/>
      <c r="AE69" s="34">
        <f t="shared" si="28"/>
        <v>39239.693000000007</v>
      </c>
      <c r="AF69" s="34">
        <f t="shared" si="29"/>
        <v>4868.8179999999993</v>
      </c>
      <c r="AG69" s="34">
        <f t="shared" si="30"/>
        <v>37748.341999999997</v>
      </c>
      <c r="AI69" t="s">
        <v>368</v>
      </c>
      <c r="AJ69" s="145"/>
      <c r="AK69" s="110" t="s">
        <v>300</v>
      </c>
      <c r="AL69" s="501" t="s">
        <v>301</v>
      </c>
      <c r="AM69" s="502"/>
      <c r="AN69" s="502"/>
      <c r="AO69" s="159">
        <f t="shared" si="31"/>
        <v>24679.052201257866</v>
      </c>
      <c r="AP69" s="159">
        <f t="shared" si="32"/>
        <v>2864.0105882352937</v>
      </c>
      <c r="AQ69" s="159">
        <f t="shared" si="33"/>
        <v>1258.2780666666665</v>
      </c>
      <c r="AT69" t="s">
        <v>384</v>
      </c>
      <c r="AU69" t="s">
        <v>117</v>
      </c>
      <c r="AV69" s="75"/>
    </row>
    <row r="70" spans="1:48" ht="16.5" customHeight="1">
      <c r="A70" s="145"/>
      <c r="B70" s="111" t="s">
        <v>20</v>
      </c>
      <c r="C70" s="501" t="s">
        <v>302</v>
      </c>
      <c r="D70" s="502"/>
      <c r="E70" s="502"/>
      <c r="F70" s="149">
        <f t="shared" si="37"/>
        <v>0</v>
      </c>
      <c r="G70" s="149">
        <f t="shared" si="65"/>
        <v>0</v>
      </c>
      <c r="H70" s="149">
        <f t="shared" si="66"/>
        <v>0</v>
      </c>
      <c r="I70" s="149">
        <f t="shared" si="67"/>
        <v>0</v>
      </c>
      <c r="J70" s="149">
        <f t="shared" si="68"/>
        <v>91.238</v>
      </c>
      <c r="K70" s="149">
        <f t="shared" si="69"/>
        <v>103.45500000000001</v>
      </c>
      <c r="L70" s="101">
        <f t="shared" si="41"/>
        <v>0</v>
      </c>
      <c r="M70" s="101">
        <f t="shared" si="42"/>
        <v>0</v>
      </c>
      <c r="N70" s="101">
        <f t="shared" si="43"/>
        <v>0</v>
      </c>
      <c r="O70" s="101">
        <f t="shared" si="44"/>
        <v>0</v>
      </c>
      <c r="P70" s="101">
        <f t="shared" si="70"/>
        <v>6.5169999999999995</v>
      </c>
      <c r="Q70" s="101">
        <f t="shared" si="71"/>
        <v>14.157</v>
      </c>
      <c r="R70" s="101">
        <f t="shared" si="46"/>
        <v>0</v>
      </c>
      <c r="S70" s="101">
        <f t="shared" si="47"/>
        <v>0</v>
      </c>
      <c r="T70" s="101">
        <f t="shared" si="48"/>
        <v>0</v>
      </c>
      <c r="U70" s="101">
        <f t="shared" si="49"/>
        <v>0</v>
      </c>
      <c r="V70" s="101">
        <f t="shared" si="72"/>
        <v>189.67899999999997</v>
      </c>
      <c r="W70" s="150">
        <f t="shared" si="73"/>
        <v>71.51100000000001</v>
      </c>
      <c r="Z70" s="145"/>
      <c r="AA70" s="111" t="s">
        <v>20</v>
      </c>
      <c r="AB70" s="501" t="s">
        <v>302</v>
      </c>
      <c r="AC70" s="502"/>
      <c r="AD70" s="502"/>
      <c r="AE70" s="34">
        <f t="shared" si="28"/>
        <v>194.69300000000001</v>
      </c>
      <c r="AF70" s="34">
        <f t="shared" si="29"/>
        <v>20.673999999999999</v>
      </c>
      <c r="AG70" s="34">
        <f t="shared" si="30"/>
        <v>261.19</v>
      </c>
      <c r="AI70" t="s">
        <v>369</v>
      </c>
      <c r="AJ70" s="145"/>
      <c r="AK70" s="111" t="s">
        <v>20</v>
      </c>
      <c r="AL70" s="501" t="s">
        <v>302</v>
      </c>
      <c r="AM70" s="502"/>
      <c r="AN70" s="502"/>
      <c r="AO70" s="159">
        <f t="shared" si="31"/>
        <v>122.44842767295597</v>
      </c>
      <c r="AP70" s="159">
        <f t="shared" si="32"/>
        <v>12.161176470588236</v>
      </c>
      <c r="AQ70" s="159">
        <f t="shared" si="33"/>
        <v>8.7063333333333333</v>
      </c>
      <c r="AT70" t="s">
        <v>384</v>
      </c>
      <c r="AU70" t="s">
        <v>118</v>
      </c>
      <c r="AV70" s="75"/>
    </row>
    <row r="71" spans="1:48" ht="17.25" customHeight="1">
      <c r="A71" s="145"/>
      <c r="B71" s="111" t="s">
        <v>19</v>
      </c>
      <c r="C71" s="501" t="s">
        <v>303</v>
      </c>
      <c r="D71" s="502"/>
      <c r="E71" s="502"/>
      <c r="F71" s="149">
        <f t="shared" si="37"/>
        <v>0</v>
      </c>
      <c r="G71" s="149">
        <f t="shared" si="65"/>
        <v>0</v>
      </c>
      <c r="H71" s="149">
        <f t="shared" si="66"/>
        <v>0</v>
      </c>
      <c r="I71" s="149">
        <f t="shared" si="67"/>
        <v>0</v>
      </c>
      <c r="J71" s="149">
        <f t="shared" si="68"/>
        <v>161.46200000000002</v>
      </c>
      <c r="K71" s="149">
        <f t="shared" si="69"/>
        <v>2182.8150000000001</v>
      </c>
      <c r="L71" s="101">
        <f t="shared" si="41"/>
        <v>0</v>
      </c>
      <c r="M71" s="101">
        <f t="shared" si="42"/>
        <v>0</v>
      </c>
      <c r="N71" s="101">
        <f t="shared" si="43"/>
        <v>0</v>
      </c>
      <c r="O71" s="101">
        <f t="shared" si="44"/>
        <v>0</v>
      </c>
      <c r="P71" s="101">
        <f t="shared" si="70"/>
        <v>11.532999999999999</v>
      </c>
      <c r="Q71" s="101">
        <f t="shared" si="71"/>
        <v>298.70100000000002</v>
      </c>
      <c r="R71" s="101">
        <f t="shared" si="46"/>
        <v>0</v>
      </c>
      <c r="S71" s="101">
        <f t="shared" si="47"/>
        <v>0</v>
      </c>
      <c r="T71" s="101">
        <f t="shared" si="48"/>
        <v>0</v>
      </c>
      <c r="U71" s="101">
        <f t="shared" si="49"/>
        <v>0</v>
      </c>
      <c r="V71" s="101">
        <f t="shared" si="72"/>
        <v>335.67099999999994</v>
      </c>
      <c r="W71" s="150">
        <f t="shared" si="73"/>
        <v>1508.8230000000001</v>
      </c>
      <c r="Z71" s="145"/>
      <c r="AA71" s="111" t="s">
        <v>19</v>
      </c>
      <c r="AB71" s="501" t="s">
        <v>303</v>
      </c>
      <c r="AC71" s="502"/>
      <c r="AD71" s="502"/>
      <c r="AE71" s="34">
        <f t="shared" si="28"/>
        <v>2344.277</v>
      </c>
      <c r="AF71" s="34">
        <f t="shared" si="29"/>
        <v>310.23400000000004</v>
      </c>
      <c r="AG71" s="34">
        <f t="shared" si="30"/>
        <v>1844.4940000000001</v>
      </c>
      <c r="AJ71" s="145"/>
      <c r="AK71" s="111" t="s">
        <v>19</v>
      </c>
      <c r="AL71" s="501" t="s">
        <v>303</v>
      </c>
      <c r="AM71" s="502"/>
      <c r="AN71" s="502"/>
      <c r="AO71" s="159">
        <f t="shared" si="31"/>
        <v>1474.3880503144653</v>
      </c>
      <c r="AP71" s="159">
        <f t="shared" si="32"/>
        <v>182.49058823529415</v>
      </c>
      <c r="AQ71" s="159">
        <f t="shared" si="33"/>
        <v>61.483133333333335</v>
      </c>
      <c r="AT71" t="s">
        <v>386</v>
      </c>
      <c r="AU71" t="s">
        <v>388</v>
      </c>
      <c r="AV71" s="75"/>
    </row>
    <row r="72" spans="1:48">
      <c r="A72" s="145"/>
      <c r="B72" s="112"/>
      <c r="C72" s="501" t="s">
        <v>304</v>
      </c>
      <c r="D72" s="502"/>
      <c r="E72" s="502"/>
      <c r="F72" s="149">
        <f t="shared" si="37"/>
        <v>0</v>
      </c>
      <c r="G72" s="149">
        <f t="shared" si="65"/>
        <v>0</v>
      </c>
      <c r="H72" s="149">
        <f t="shared" si="66"/>
        <v>0</v>
      </c>
      <c r="I72" s="149">
        <f t="shared" si="67"/>
        <v>0</v>
      </c>
      <c r="J72" s="149">
        <f t="shared" si="68"/>
        <v>14.896000000000001</v>
      </c>
      <c r="K72" s="149">
        <f t="shared" si="69"/>
        <v>0</v>
      </c>
      <c r="L72" s="101">
        <f t="shared" si="41"/>
        <v>0</v>
      </c>
      <c r="M72" s="101">
        <f t="shared" si="42"/>
        <v>0</v>
      </c>
      <c r="N72" s="101">
        <f t="shared" si="43"/>
        <v>0</v>
      </c>
      <c r="O72" s="101">
        <f t="shared" si="44"/>
        <v>0</v>
      </c>
      <c r="P72" s="101">
        <f t="shared" si="70"/>
        <v>1.0640000000000001</v>
      </c>
      <c r="Q72" s="101">
        <f t="shared" si="71"/>
        <v>0</v>
      </c>
      <c r="R72" s="101">
        <f t="shared" si="46"/>
        <v>0</v>
      </c>
      <c r="S72" s="101">
        <f t="shared" si="47"/>
        <v>0</v>
      </c>
      <c r="T72" s="101">
        <f t="shared" si="48"/>
        <v>0</v>
      </c>
      <c r="U72" s="101">
        <f t="shared" si="49"/>
        <v>0</v>
      </c>
      <c r="V72" s="101">
        <f t="shared" si="72"/>
        <v>30.967999999999996</v>
      </c>
      <c r="W72" s="150">
        <f t="shared" si="73"/>
        <v>0</v>
      </c>
      <c r="Z72" s="145"/>
      <c r="AA72" s="112"/>
      <c r="AB72" s="501" t="s">
        <v>304</v>
      </c>
      <c r="AC72" s="502"/>
      <c r="AD72" s="502"/>
      <c r="AE72" s="34">
        <f t="shared" si="28"/>
        <v>14.896000000000001</v>
      </c>
      <c r="AF72" s="34">
        <f t="shared" si="29"/>
        <v>1.0640000000000001</v>
      </c>
      <c r="AG72" s="34">
        <f t="shared" si="30"/>
        <v>30.967999999999996</v>
      </c>
      <c r="AJ72" s="145"/>
      <c r="AK72" s="112"/>
      <c r="AL72" s="501" t="s">
        <v>304</v>
      </c>
      <c r="AM72" s="502"/>
      <c r="AN72" s="502"/>
      <c r="AO72" s="159">
        <f t="shared" si="31"/>
        <v>9.3685534591194966</v>
      </c>
      <c r="AP72" s="159">
        <f t="shared" si="32"/>
        <v>0.62588235294117656</v>
      </c>
      <c r="AQ72" s="159">
        <f t="shared" si="33"/>
        <v>1.0322666666666664</v>
      </c>
      <c r="AT72" t="s">
        <v>389</v>
      </c>
      <c r="AU72" t="s">
        <v>390</v>
      </c>
      <c r="AV72" s="75"/>
    </row>
    <row r="73" spans="1:48">
      <c r="A73" s="145"/>
      <c r="B73" s="112"/>
      <c r="C73" s="501" t="s">
        <v>305</v>
      </c>
      <c r="D73" s="502"/>
      <c r="E73" s="502"/>
      <c r="F73" s="149">
        <f t="shared" si="37"/>
        <v>0</v>
      </c>
      <c r="G73" s="149">
        <f t="shared" si="65"/>
        <v>0</v>
      </c>
      <c r="H73" s="149">
        <f t="shared" si="66"/>
        <v>0</v>
      </c>
      <c r="I73" s="149">
        <f t="shared" si="67"/>
        <v>0</v>
      </c>
      <c r="J73" s="149">
        <f t="shared" si="68"/>
        <v>46.018000000000001</v>
      </c>
      <c r="K73" s="149">
        <f t="shared" si="69"/>
        <v>637.83000000000004</v>
      </c>
      <c r="L73" s="101">
        <f t="shared" si="41"/>
        <v>0</v>
      </c>
      <c r="M73" s="101">
        <f t="shared" si="42"/>
        <v>0</v>
      </c>
      <c r="N73" s="101">
        <f t="shared" si="43"/>
        <v>0</v>
      </c>
      <c r="O73" s="101">
        <f t="shared" si="44"/>
        <v>0</v>
      </c>
      <c r="P73" s="101">
        <f t="shared" si="70"/>
        <v>3.2869999999999999</v>
      </c>
      <c r="Q73" s="101">
        <f t="shared" si="71"/>
        <v>87.281999999999996</v>
      </c>
      <c r="R73" s="101">
        <f t="shared" si="46"/>
        <v>0</v>
      </c>
      <c r="S73" s="101">
        <f t="shared" si="47"/>
        <v>0</v>
      </c>
      <c r="T73" s="101">
        <f t="shared" si="48"/>
        <v>0</v>
      </c>
      <c r="U73" s="101">
        <f t="shared" si="49"/>
        <v>0</v>
      </c>
      <c r="V73" s="101">
        <f t="shared" si="72"/>
        <v>95.668999999999983</v>
      </c>
      <c r="W73" s="150">
        <f t="shared" si="73"/>
        <v>440.88600000000002</v>
      </c>
      <c r="Z73" s="145"/>
      <c r="AA73" s="112"/>
      <c r="AB73" s="501" t="s">
        <v>305</v>
      </c>
      <c r="AC73" s="502"/>
      <c r="AD73" s="502"/>
      <c r="AE73" s="34">
        <f t="shared" si="28"/>
        <v>683.84800000000007</v>
      </c>
      <c r="AF73" s="34">
        <f t="shared" si="29"/>
        <v>90.569000000000003</v>
      </c>
      <c r="AG73" s="34">
        <f t="shared" si="30"/>
        <v>536.55500000000006</v>
      </c>
      <c r="AJ73" s="145"/>
      <c r="AK73" s="112"/>
      <c r="AL73" s="501" t="s">
        <v>305</v>
      </c>
      <c r="AM73" s="502"/>
      <c r="AN73" s="502"/>
      <c r="AO73" s="159">
        <f t="shared" si="31"/>
        <v>430.09308176100632</v>
      </c>
      <c r="AP73" s="159">
        <f t="shared" si="32"/>
        <v>53.275882352941181</v>
      </c>
      <c r="AQ73" s="159">
        <f t="shared" si="33"/>
        <v>17.88516666666667</v>
      </c>
      <c r="AT73" t="s">
        <v>391</v>
      </c>
      <c r="AU73" t="s">
        <v>392</v>
      </c>
      <c r="AV73" s="75"/>
    </row>
    <row r="74" spans="1:48" ht="17.5" thickBot="1">
      <c r="A74" s="146"/>
      <c r="B74" s="147"/>
      <c r="C74" s="527" t="s">
        <v>47</v>
      </c>
      <c r="D74" s="528"/>
      <c r="E74" s="528"/>
      <c r="F74" s="151">
        <f t="shared" si="37"/>
        <v>0</v>
      </c>
      <c r="G74" s="151">
        <f t="shared" si="65"/>
        <v>0</v>
      </c>
      <c r="H74" s="151">
        <f t="shared" si="66"/>
        <v>0</v>
      </c>
      <c r="I74" s="151">
        <f t="shared" si="67"/>
        <v>0</v>
      </c>
      <c r="J74" s="151">
        <f t="shared" si="68"/>
        <v>3987.0740000000001</v>
      </c>
      <c r="K74" s="151">
        <f t="shared" si="69"/>
        <v>13306.935000000001</v>
      </c>
      <c r="L74" s="152">
        <f t="shared" si="41"/>
        <v>0</v>
      </c>
      <c r="M74" s="152">
        <f t="shared" si="42"/>
        <v>0</v>
      </c>
      <c r="N74" s="152">
        <f t="shared" si="43"/>
        <v>0</v>
      </c>
      <c r="O74" s="152">
        <f t="shared" si="44"/>
        <v>0</v>
      </c>
      <c r="P74" s="152">
        <f t="shared" si="70"/>
        <v>284.791</v>
      </c>
      <c r="Q74" s="152">
        <f t="shared" si="71"/>
        <v>1820.9490000000001</v>
      </c>
      <c r="R74" s="152">
        <f t="shared" si="46"/>
        <v>0</v>
      </c>
      <c r="S74" s="152">
        <f t="shared" si="47"/>
        <v>0</v>
      </c>
      <c r="T74" s="152">
        <f t="shared" si="48"/>
        <v>0</v>
      </c>
      <c r="U74" s="152">
        <f t="shared" si="49"/>
        <v>0</v>
      </c>
      <c r="V74" s="152">
        <f t="shared" si="72"/>
        <v>8288.9169999999995</v>
      </c>
      <c r="W74" s="153">
        <f t="shared" si="73"/>
        <v>9198.1270000000004</v>
      </c>
      <c r="Z74" s="146"/>
      <c r="AA74" s="147"/>
      <c r="AB74" s="527" t="s">
        <v>47</v>
      </c>
      <c r="AC74" s="528"/>
      <c r="AD74" s="528"/>
      <c r="AE74" s="34">
        <f t="shared" si="28"/>
        <v>17294.009000000002</v>
      </c>
      <c r="AF74" s="34">
        <f t="shared" si="29"/>
        <v>2105.7400000000002</v>
      </c>
      <c r="AG74" s="34">
        <f t="shared" si="30"/>
        <v>17487.044000000002</v>
      </c>
      <c r="AJ74" s="146"/>
      <c r="AK74" s="147"/>
      <c r="AL74" s="527" t="s">
        <v>47</v>
      </c>
      <c r="AM74" s="528"/>
      <c r="AN74" s="528"/>
      <c r="AO74" s="159">
        <f t="shared" si="31"/>
        <v>10876.735220125787</v>
      </c>
      <c r="AP74" s="159">
        <f t="shared" si="32"/>
        <v>1238.6705882352942</v>
      </c>
      <c r="AQ74" s="159">
        <f t="shared" si="33"/>
        <v>582.90146666666669</v>
      </c>
      <c r="AT74" t="s">
        <v>391</v>
      </c>
      <c r="AU74" t="s">
        <v>393</v>
      </c>
      <c r="AV74" s="75"/>
    </row>
    <row r="75" spans="1:48">
      <c r="AT75" t="s">
        <v>394</v>
      </c>
      <c r="AU75" t="s">
        <v>395</v>
      </c>
      <c r="AV75" s="75"/>
    </row>
    <row r="76" spans="1:48" ht="23">
      <c r="A76" s="154" t="s">
        <v>331</v>
      </c>
      <c r="Z76" s="154" t="s">
        <v>337</v>
      </c>
      <c r="AJ76" s="102" t="s">
        <v>339</v>
      </c>
      <c r="AT76" t="s">
        <v>396</v>
      </c>
      <c r="AU76" t="s">
        <v>397</v>
      </c>
      <c r="AV76" s="75"/>
    </row>
    <row r="77" spans="1:48">
      <c r="A77" s="32" t="s">
        <v>308</v>
      </c>
      <c r="Z77" s="32" t="s">
        <v>308</v>
      </c>
      <c r="AJ77" s="32" t="s">
        <v>308</v>
      </c>
      <c r="AT77" t="s">
        <v>396</v>
      </c>
      <c r="AU77" t="s">
        <v>398</v>
      </c>
      <c r="AV77" s="75"/>
    </row>
    <row r="78" spans="1:48" ht="21" thickBot="1">
      <c r="F78" s="658" t="s">
        <v>319</v>
      </c>
      <c r="G78" s="658"/>
      <c r="H78" s="658"/>
      <c r="I78" s="658"/>
      <c r="J78" s="658"/>
      <c r="K78" s="658"/>
      <c r="L78" s="658" t="s">
        <v>320</v>
      </c>
      <c r="M78" s="658"/>
      <c r="N78" s="658"/>
      <c r="O78" s="658"/>
      <c r="P78" s="658"/>
      <c r="Q78" s="658"/>
      <c r="R78" s="658" t="s">
        <v>321</v>
      </c>
      <c r="S78" s="658"/>
      <c r="T78" s="658"/>
      <c r="U78" s="658"/>
      <c r="V78" s="658"/>
      <c r="W78" s="658"/>
      <c r="AE78" s="32" t="s">
        <v>334</v>
      </c>
      <c r="AF78" s="32" t="s">
        <v>335</v>
      </c>
      <c r="AG78" s="32" t="s">
        <v>321</v>
      </c>
      <c r="AO78" s="32" t="s">
        <v>334</v>
      </c>
      <c r="AP78" s="32" t="s">
        <v>335</v>
      </c>
      <c r="AQ78" s="32" t="s">
        <v>321</v>
      </c>
    </row>
    <row r="79" spans="1:48">
      <c r="A79" s="521" t="s">
        <v>307</v>
      </c>
      <c r="B79" s="522"/>
      <c r="C79" s="522"/>
      <c r="D79" s="522"/>
      <c r="E79" s="523"/>
      <c r="F79" s="142" t="s">
        <v>165</v>
      </c>
      <c r="G79" s="143"/>
      <c r="H79" s="143"/>
      <c r="I79" s="522" t="s">
        <v>328</v>
      </c>
      <c r="J79" s="522" t="s">
        <v>329</v>
      </c>
      <c r="K79" s="522" t="s">
        <v>330</v>
      </c>
      <c r="L79" s="143"/>
      <c r="M79" s="143"/>
      <c r="N79" s="143"/>
      <c r="O79" s="522" t="s">
        <v>328</v>
      </c>
      <c r="P79" s="522" t="s">
        <v>329</v>
      </c>
      <c r="Q79" s="522" t="s">
        <v>330</v>
      </c>
      <c r="R79" s="143"/>
      <c r="S79" s="143"/>
      <c r="T79" s="144"/>
      <c r="U79" s="522" t="s">
        <v>328</v>
      </c>
      <c r="V79" s="522" t="s">
        <v>329</v>
      </c>
      <c r="W79" s="656" t="s">
        <v>330</v>
      </c>
      <c r="Z79" s="521" t="s">
        <v>307</v>
      </c>
      <c r="AA79" s="522"/>
      <c r="AB79" s="522"/>
      <c r="AC79" s="522"/>
      <c r="AD79" s="523"/>
      <c r="AJ79" s="521" t="s">
        <v>307</v>
      </c>
      <c r="AK79" s="522"/>
      <c r="AL79" s="522"/>
      <c r="AM79" s="522"/>
      <c r="AN79" s="523"/>
    </row>
    <row r="80" spans="1:48" ht="17.5" thickBot="1">
      <c r="A80" s="524"/>
      <c r="B80" s="484"/>
      <c r="C80" s="484"/>
      <c r="D80" s="484"/>
      <c r="E80" s="485"/>
      <c r="F80" s="148" t="s">
        <v>44</v>
      </c>
      <c r="G80" s="148" t="s">
        <v>45</v>
      </c>
      <c r="H80" s="148" t="s">
        <v>46</v>
      </c>
      <c r="I80" s="655"/>
      <c r="J80" s="655"/>
      <c r="K80" s="655"/>
      <c r="L80" s="148" t="s">
        <v>44</v>
      </c>
      <c r="M80" s="148" t="s">
        <v>45</v>
      </c>
      <c r="N80" s="148" t="s">
        <v>46</v>
      </c>
      <c r="O80" s="655"/>
      <c r="P80" s="655"/>
      <c r="Q80" s="655"/>
      <c r="R80" s="148" t="s">
        <v>44</v>
      </c>
      <c r="S80" s="148" t="s">
        <v>45</v>
      </c>
      <c r="T80" s="148" t="s">
        <v>46</v>
      </c>
      <c r="U80" s="655"/>
      <c r="V80" s="655"/>
      <c r="W80" s="657"/>
      <c r="Z80" s="524"/>
      <c r="AA80" s="484"/>
      <c r="AB80" s="484"/>
      <c r="AC80" s="484"/>
      <c r="AD80" s="485"/>
      <c r="AJ80" s="524"/>
      <c r="AK80" s="484"/>
      <c r="AL80" s="484"/>
      <c r="AM80" s="484"/>
      <c r="AN80" s="485"/>
    </row>
    <row r="81" spans="1:43" ht="17.5" thickTop="1">
      <c r="A81" s="145">
        <v>2027</v>
      </c>
      <c r="B81" s="110" t="s">
        <v>289</v>
      </c>
      <c r="C81" s="110"/>
      <c r="D81" s="501" t="s">
        <v>324</v>
      </c>
      <c r="E81" s="502"/>
      <c r="F81" s="149">
        <f>F39*P$22</f>
        <v>177.85900000000001</v>
      </c>
      <c r="G81" s="149">
        <f t="shared" ref="G81" si="74">G39*Q$22</f>
        <v>9.1000000000000014</v>
      </c>
      <c r="H81" s="149">
        <f t="shared" ref="H81" si="75">H39*R$22</f>
        <v>140.71799999999999</v>
      </c>
      <c r="I81" s="149">
        <f t="shared" ref="I81" si="76">I39*S$22</f>
        <v>111.32000000000001</v>
      </c>
      <c r="J81" s="149">
        <f t="shared" ref="J81" si="77">J39*T$22</f>
        <v>0</v>
      </c>
      <c r="K81" s="149">
        <f t="shared" ref="K81" si="78">K39*U$22</f>
        <v>0</v>
      </c>
      <c r="L81" s="149">
        <f>F39*P$23</f>
        <v>25.783000000000001</v>
      </c>
      <c r="M81" s="149">
        <f>G39*Q$23</f>
        <v>3.12</v>
      </c>
      <c r="N81" s="149">
        <f>H39*R$23</f>
        <v>34.930000000000007</v>
      </c>
      <c r="O81" s="149">
        <f>I39*S$23</f>
        <v>32.56</v>
      </c>
      <c r="P81" s="149">
        <f t="shared" ref="P81" si="79">J39*T$23</f>
        <v>0</v>
      </c>
      <c r="Q81" s="149">
        <f t="shared" ref="Q81" si="80">K39*U$23</f>
        <v>0</v>
      </c>
      <c r="R81" s="101">
        <f>F39*P$24</f>
        <v>175.23700000000002</v>
      </c>
      <c r="S81" s="101">
        <f>G39*Q$24</f>
        <v>50.83</v>
      </c>
      <c r="T81" s="101">
        <f>H39*R$24</f>
        <v>203.59199999999998</v>
      </c>
      <c r="U81" s="101">
        <f>I39*S$24</f>
        <v>184.79999999999998</v>
      </c>
      <c r="V81" s="101">
        <f t="shared" ref="V81" si="81">J39*T$24</f>
        <v>0</v>
      </c>
      <c r="W81" s="150">
        <f t="shared" ref="W81" si="82">K39*U$24</f>
        <v>0</v>
      </c>
      <c r="Z81" s="145">
        <v>2027</v>
      </c>
      <c r="AA81" s="110" t="s">
        <v>289</v>
      </c>
      <c r="AB81" s="110"/>
      <c r="AC81" s="501" t="s">
        <v>324</v>
      </c>
      <c r="AD81" s="502"/>
      <c r="AE81" s="34">
        <f>SUM(F81:K81)</f>
        <v>438.99700000000001</v>
      </c>
      <c r="AF81" s="34">
        <f t="shared" ref="AF81:AF92" si="83">SUM(L81:Q81)</f>
        <v>96.393000000000015</v>
      </c>
      <c r="AG81" s="34">
        <f t="shared" ref="AG81:AG92" si="84">SUM(R81:W81)</f>
        <v>614.45899999999995</v>
      </c>
      <c r="AJ81" s="145">
        <v>2027</v>
      </c>
      <c r="AK81" s="110" t="s">
        <v>289</v>
      </c>
      <c r="AL81" s="110"/>
      <c r="AM81" s="501" t="s">
        <v>324</v>
      </c>
      <c r="AN81" s="502"/>
      <c r="AO81" s="159">
        <f t="shared" ref="AO81:AO92" si="85">AE81/$P$31</f>
        <v>276.0987421383648</v>
      </c>
      <c r="AP81" s="159">
        <f t="shared" ref="AP81:AP92" si="86">AF81/$Q$31</f>
        <v>56.701764705882361</v>
      </c>
      <c r="AQ81" s="159">
        <f t="shared" ref="AQ81:AQ92" si="87">AG81/$R$31</f>
        <v>20.481966666666665</v>
      </c>
    </row>
    <row r="82" spans="1:43">
      <c r="A82" s="145"/>
      <c r="B82" s="111" t="s">
        <v>290</v>
      </c>
      <c r="C82" s="112"/>
      <c r="D82" s="505" t="s">
        <v>322</v>
      </c>
      <c r="E82" s="41" t="s">
        <v>296</v>
      </c>
      <c r="F82" s="149">
        <f>F43*P$22</f>
        <v>3870.9770000000003</v>
      </c>
      <c r="G82" s="149">
        <f t="shared" ref="G82:G83" si="88">G43*Q$22</f>
        <v>198.87000000000003</v>
      </c>
      <c r="H82" s="149">
        <f t="shared" ref="H82:H83" si="89">H43*R$22</f>
        <v>3063.3659999999995</v>
      </c>
      <c r="I82" s="149">
        <f t="shared" ref="I82:I83" si="90">I43*S$22</f>
        <v>3003.616</v>
      </c>
      <c r="J82" s="149">
        <f t="shared" ref="J82:J83" si="91">J43*T$22</f>
        <v>0</v>
      </c>
      <c r="K82" s="149">
        <f t="shared" ref="K82:K83" si="92">K43*U$22</f>
        <v>0</v>
      </c>
      <c r="L82" s="101">
        <f t="shared" ref="L82:O83" si="93">F43*P$23</f>
        <v>561.149</v>
      </c>
      <c r="M82" s="101">
        <f t="shared" si="93"/>
        <v>68.183999999999997</v>
      </c>
      <c r="N82" s="101">
        <f t="shared" si="93"/>
        <v>760.41000000000008</v>
      </c>
      <c r="O82" s="101">
        <f t="shared" si="93"/>
        <v>878.52800000000013</v>
      </c>
      <c r="P82" s="101">
        <f t="shared" ref="P82:P83" si="94">J43*T$23</f>
        <v>0</v>
      </c>
      <c r="Q82" s="101">
        <f t="shared" ref="Q82:Q83" si="95">K43*U$23</f>
        <v>0</v>
      </c>
      <c r="R82" s="101">
        <f t="shared" ref="R82:U83" si="96">F43*P$24</f>
        <v>3813.9110000000001</v>
      </c>
      <c r="S82" s="101">
        <f t="shared" si="96"/>
        <v>1110.8310000000001</v>
      </c>
      <c r="T82" s="101">
        <f t="shared" si="96"/>
        <v>4432.1039999999994</v>
      </c>
      <c r="U82" s="101">
        <f t="shared" si="96"/>
        <v>4986.24</v>
      </c>
      <c r="V82" s="101">
        <f t="shared" ref="V82:V83" si="97">J43*T$24</f>
        <v>0</v>
      </c>
      <c r="W82" s="150">
        <f t="shared" ref="W82:W83" si="98">K43*U$24</f>
        <v>0</v>
      </c>
      <c r="Z82" s="145"/>
      <c r="AA82" s="111" t="s">
        <v>290</v>
      </c>
      <c r="AB82" s="112"/>
      <c r="AC82" s="505" t="s">
        <v>322</v>
      </c>
      <c r="AD82" s="41" t="s">
        <v>296</v>
      </c>
      <c r="AE82" s="34">
        <f t="shared" ref="AE82:AE92" si="99">SUM(F82:K82)</f>
        <v>10136.829</v>
      </c>
      <c r="AF82" s="34">
        <f t="shared" si="83"/>
        <v>2268.2710000000002</v>
      </c>
      <c r="AG82" s="34">
        <f t="shared" si="84"/>
        <v>14343.085999999999</v>
      </c>
      <c r="AJ82" s="145"/>
      <c r="AK82" s="111" t="s">
        <v>290</v>
      </c>
      <c r="AL82" s="112"/>
      <c r="AM82" s="505" t="s">
        <v>322</v>
      </c>
      <c r="AN82" s="41" t="s">
        <v>296</v>
      </c>
      <c r="AO82" s="159">
        <f t="shared" si="85"/>
        <v>6375.3641509433955</v>
      </c>
      <c r="AP82" s="159">
        <f t="shared" si="86"/>
        <v>1334.2770588235296</v>
      </c>
      <c r="AQ82" s="159">
        <f t="shared" si="87"/>
        <v>478.10286666666667</v>
      </c>
    </row>
    <row r="83" spans="1:43" ht="29">
      <c r="A83" s="145"/>
      <c r="B83" s="111" t="s">
        <v>19</v>
      </c>
      <c r="C83" s="112"/>
      <c r="D83" s="506"/>
      <c r="E83" s="41" t="s">
        <v>297</v>
      </c>
      <c r="F83" s="149">
        <f>F44*P$22</f>
        <v>2909.643</v>
      </c>
      <c r="G83" s="149">
        <f t="shared" si="88"/>
        <v>149.52000000000001</v>
      </c>
      <c r="H83" s="149">
        <f t="shared" si="89"/>
        <v>2302.5299999999997</v>
      </c>
      <c r="I83" s="149">
        <f t="shared" si="90"/>
        <v>1822.6120000000001</v>
      </c>
      <c r="J83" s="149">
        <f t="shared" si="91"/>
        <v>0</v>
      </c>
      <c r="K83" s="149">
        <f t="shared" si="92"/>
        <v>0</v>
      </c>
      <c r="L83" s="101">
        <f t="shared" si="93"/>
        <v>421.79100000000005</v>
      </c>
      <c r="M83" s="101">
        <f t="shared" si="93"/>
        <v>51.264000000000003</v>
      </c>
      <c r="N83" s="101">
        <f t="shared" si="93"/>
        <v>571.55000000000007</v>
      </c>
      <c r="O83" s="101">
        <f t="shared" si="93"/>
        <v>533.09600000000012</v>
      </c>
      <c r="P83" s="101">
        <f t="shared" si="94"/>
        <v>0</v>
      </c>
      <c r="Q83" s="101">
        <f t="shared" si="95"/>
        <v>0</v>
      </c>
      <c r="R83" s="101">
        <f t="shared" si="96"/>
        <v>2866.7490000000003</v>
      </c>
      <c r="S83" s="101">
        <f t="shared" si="96"/>
        <v>835.17600000000004</v>
      </c>
      <c r="T83" s="101">
        <f t="shared" si="96"/>
        <v>3331.3199999999997</v>
      </c>
      <c r="U83" s="101">
        <f t="shared" si="96"/>
        <v>3025.68</v>
      </c>
      <c r="V83" s="101">
        <f t="shared" si="97"/>
        <v>0</v>
      </c>
      <c r="W83" s="150">
        <f t="shared" si="98"/>
        <v>0</v>
      </c>
      <c r="Z83" s="145"/>
      <c r="AA83" s="111" t="s">
        <v>19</v>
      </c>
      <c r="AB83" s="112"/>
      <c r="AC83" s="506"/>
      <c r="AD83" s="41" t="s">
        <v>297</v>
      </c>
      <c r="AE83" s="34">
        <f t="shared" si="99"/>
        <v>7184.3049999999994</v>
      </c>
      <c r="AF83" s="34">
        <f t="shared" si="83"/>
        <v>1577.701</v>
      </c>
      <c r="AG83" s="34">
        <f t="shared" si="84"/>
        <v>10058.924999999999</v>
      </c>
      <c r="AJ83" s="145"/>
      <c r="AK83" s="111" t="s">
        <v>19</v>
      </c>
      <c r="AL83" s="112"/>
      <c r="AM83" s="506"/>
      <c r="AN83" s="41" t="s">
        <v>297</v>
      </c>
      <c r="AO83" s="159">
        <f t="shared" si="85"/>
        <v>4518.4308176100621</v>
      </c>
      <c r="AP83" s="159">
        <f t="shared" si="86"/>
        <v>928.05941176470594</v>
      </c>
      <c r="AQ83" s="159">
        <f t="shared" si="87"/>
        <v>335.29749999999996</v>
      </c>
    </row>
    <row r="84" spans="1:43" ht="29">
      <c r="A84" s="145"/>
      <c r="B84" s="112"/>
      <c r="C84" s="112"/>
      <c r="D84" s="111" t="s">
        <v>323</v>
      </c>
      <c r="E84" s="41" t="s">
        <v>297</v>
      </c>
      <c r="F84" s="149">
        <f t="shared" ref="F84:F92" si="100">F46*P$22</f>
        <v>468.05</v>
      </c>
      <c r="G84" s="149">
        <f t="shared" ref="G84:G92" si="101">G46*Q$22</f>
        <v>24.01</v>
      </c>
      <c r="H84" s="149">
        <f t="shared" ref="H84:H92" si="102">H46*R$22</f>
        <v>370.26599999999996</v>
      </c>
      <c r="I84" s="149">
        <f t="shared" ref="I84:I92" si="103">I46*S$22</f>
        <v>293.22699999999998</v>
      </c>
      <c r="J84" s="149">
        <f t="shared" ref="J84:J92" si="104">J46*T$22</f>
        <v>0</v>
      </c>
      <c r="K84" s="149">
        <f t="shared" ref="K84:K92" si="105">K46*U$22</f>
        <v>0</v>
      </c>
      <c r="L84" s="101">
        <f t="shared" ref="L84:L92" si="106">F46*P$23</f>
        <v>67.850000000000009</v>
      </c>
      <c r="M84" s="101">
        <f t="shared" ref="M84:M92" si="107">G46*Q$23</f>
        <v>8.2319999999999993</v>
      </c>
      <c r="N84" s="101">
        <f t="shared" ref="N84:N92" si="108">H46*R$23</f>
        <v>91.910000000000011</v>
      </c>
      <c r="O84" s="101">
        <f t="shared" ref="O84:O92" si="109">I46*S$23</f>
        <v>85.766000000000005</v>
      </c>
      <c r="P84" s="101">
        <f t="shared" ref="P84:P92" si="110">J46*T$23</f>
        <v>0</v>
      </c>
      <c r="Q84" s="101">
        <f t="shared" ref="Q84:Q92" si="111">K46*U$23</f>
        <v>0</v>
      </c>
      <c r="R84" s="101">
        <f t="shared" ref="R84:R92" si="112">F46*P$24</f>
        <v>461.15000000000003</v>
      </c>
      <c r="S84" s="101">
        <f t="shared" ref="S84:S92" si="113">G46*Q$24</f>
        <v>134.113</v>
      </c>
      <c r="T84" s="101">
        <f t="shared" ref="T84:T92" si="114">H46*R$24</f>
        <v>535.70399999999995</v>
      </c>
      <c r="U84" s="101">
        <f t="shared" ref="U84:U92" si="115">I46*S$24</f>
        <v>486.78</v>
      </c>
      <c r="V84" s="101">
        <f t="shared" ref="V84:V92" si="116">J46*T$24</f>
        <v>0</v>
      </c>
      <c r="W84" s="150">
        <f t="shared" ref="W84:W91" si="117">K46*U$24</f>
        <v>0</v>
      </c>
      <c r="Z84" s="145"/>
      <c r="AA84" s="112"/>
      <c r="AB84" s="112"/>
      <c r="AC84" s="111" t="s">
        <v>323</v>
      </c>
      <c r="AD84" s="41" t="s">
        <v>297</v>
      </c>
      <c r="AE84" s="34">
        <f t="shared" si="99"/>
        <v>1155.5529999999999</v>
      </c>
      <c r="AF84" s="34">
        <f t="shared" si="83"/>
        <v>253.75800000000004</v>
      </c>
      <c r="AG84" s="34">
        <f t="shared" si="84"/>
        <v>1617.7470000000001</v>
      </c>
      <c r="AJ84" s="145"/>
      <c r="AK84" s="112"/>
      <c r="AL84" s="112"/>
      <c r="AM84" s="111" t="s">
        <v>323</v>
      </c>
      <c r="AN84" s="41" t="s">
        <v>297</v>
      </c>
      <c r="AO84" s="159">
        <f t="shared" si="85"/>
        <v>726.76289308176092</v>
      </c>
      <c r="AP84" s="159">
        <f t="shared" si="86"/>
        <v>149.26941176470592</v>
      </c>
      <c r="AQ84" s="159">
        <f t="shared" si="87"/>
        <v>53.924900000000001</v>
      </c>
    </row>
    <row r="85" spans="1:43" ht="16.5" customHeight="1">
      <c r="A85" s="145"/>
      <c r="B85" s="112"/>
      <c r="C85" s="113"/>
      <c r="D85" s="113"/>
      <c r="E85" s="41" t="s">
        <v>299</v>
      </c>
      <c r="F85" s="149">
        <f t="shared" si="100"/>
        <v>818.88400000000001</v>
      </c>
      <c r="G85" s="149">
        <f t="shared" si="101"/>
        <v>42.070000000000007</v>
      </c>
      <c r="H85" s="149">
        <f t="shared" si="102"/>
        <v>648.03599999999994</v>
      </c>
      <c r="I85" s="149">
        <f t="shared" si="103"/>
        <v>513.08400000000006</v>
      </c>
      <c r="J85" s="149">
        <f t="shared" si="104"/>
        <v>0</v>
      </c>
      <c r="K85" s="149">
        <f t="shared" si="105"/>
        <v>0</v>
      </c>
      <c r="L85" s="101">
        <f t="shared" si="106"/>
        <v>118.70800000000001</v>
      </c>
      <c r="M85" s="101">
        <f t="shared" si="107"/>
        <v>14.423999999999999</v>
      </c>
      <c r="N85" s="101">
        <f t="shared" si="108"/>
        <v>160.86000000000001</v>
      </c>
      <c r="O85" s="101">
        <f t="shared" si="109"/>
        <v>150.07200000000003</v>
      </c>
      <c r="P85" s="101">
        <f t="shared" si="110"/>
        <v>0</v>
      </c>
      <c r="Q85" s="101">
        <f t="shared" si="111"/>
        <v>0</v>
      </c>
      <c r="R85" s="101">
        <f t="shared" si="112"/>
        <v>806.81200000000001</v>
      </c>
      <c r="S85" s="101">
        <f t="shared" si="113"/>
        <v>234.99100000000001</v>
      </c>
      <c r="T85" s="101">
        <f t="shared" si="114"/>
        <v>937.58399999999995</v>
      </c>
      <c r="U85" s="101">
        <f t="shared" si="115"/>
        <v>851.76</v>
      </c>
      <c r="V85" s="101">
        <f t="shared" si="116"/>
        <v>0</v>
      </c>
      <c r="W85" s="150">
        <f t="shared" si="117"/>
        <v>0</v>
      </c>
      <c r="Z85" s="145"/>
      <c r="AA85" s="112"/>
      <c r="AB85" s="113"/>
      <c r="AC85" s="113"/>
      <c r="AD85" s="41" t="s">
        <v>299</v>
      </c>
      <c r="AE85" s="34">
        <f t="shared" si="99"/>
        <v>2022.0740000000001</v>
      </c>
      <c r="AF85" s="34">
        <f t="shared" si="83"/>
        <v>444.06400000000008</v>
      </c>
      <c r="AG85" s="34">
        <f t="shared" si="84"/>
        <v>2831.1469999999999</v>
      </c>
      <c r="AJ85" s="145"/>
      <c r="AK85" s="112"/>
      <c r="AL85" s="113"/>
      <c r="AM85" s="113"/>
      <c r="AN85" s="41" t="s">
        <v>299</v>
      </c>
      <c r="AO85" s="159">
        <f t="shared" si="85"/>
        <v>1271.7446540880503</v>
      </c>
      <c r="AP85" s="159">
        <f t="shared" si="86"/>
        <v>261.21411764705886</v>
      </c>
      <c r="AQ85" s="159">
        <f t="shared" si="87"/>
        <v>94.371566666666666</v>
      </c>
    </row>
    <row r="86" spans="1:43" ht="16.5" customHeight="1">
      <c r="A86" s="145"/>
      <c r="B86" s="113"/>
      <c r="C86" s="501" t="s">
        <v>13</v>
      </c>
      <c r="D86" s="502"/>
      <c r="E86" s="502"/>
      <c r="F86" s="149">
        <f t="shared" si="100"/>
        <v>0</v>
      </c>
      <c r="G86" s="149">
        <f t="shared" si="101"/>
        <v>0</v>
      </c>
      <c r="H86" s="149">
        <f t="shared" si="102"/>
        <v>0</v>
      </c>
      <c r="I86" s="149">
        <f t="shared" si="103"/>
        <v>0</v>
      </c>
      <c r="J86" s="149">
        <f t="shared" si="104"/>
        <v>435.97400000000005</v>
      </c>
      <c r="K86" s="149">
        <f t="shared" si="105"/>
        <v>4939.05</v>
      </c>
      <c r="L86" s="101">
        <f t="shared" si="106"/>
        <v>0</v>
      </c>
      <c r="M86" s="101">
        <f t="shared" si="107"/>
        <v>0</v>
      </c>
      <c r="N86" s="101">
        <f t="shared" si="108"/>
        <v>0</v>
      </c>
      <c r="O86" s="101">
        <f t="shared" si="109"/>
        <v>0</v>
      </c>
      <c r="P86" s="101">
        <f t="shared" si="110"/>
        <v>31.140999999999998</v>
      </c>
      <c r="Q86" s="101">
        <f t="shared" si="111"/>
        <v>675.87</v>
      </c>
      <c r="R86" s="101">
        <f t="shared" si="112"/>
        <v>0</v>
      </c>
      <c r="S86" s="101">
        <f t="shared" si="113"/>
        <v>0</v>
      </c>
      <c r="T86" s="101">
        <f t="shared" si="114"/>
        <v>0</v>
      </c>
      <c r="U86" s="101">
        <f t="shared" si="115"/>
        <v>0</v>
      </c>
      <c r="V86" s="101">
        <f t="shared" si="116"/>
        <v>906.36699999999985</v>
      </c>
      <c r="W86" s="150">
        <f t="shared" si="117"/>
        <v>3414.01</v>
      </c>
      <c r="Z86" s="145"/>
      <c r="AA86" s="113"/>
      <c r="AB86" s="501" t="s">
        <v>13</v>
      </c>
      <c r="AC86" s="502"/>
      <c r="AD86" s="502"/>
      <c r="AE86" s="34">
        <f t="shared" si="99"/>
        <v>5375.0240000000003</v>
      </c>
      <c r="AF86" s="34">
        <f t="shared" si="83"/>
        <v>707.01099999999997</v>
      </c>
      <c r="AG86" s="34">
        <f t="shared" si="84"/>
        <v>4320.3770000000004</v>
      </c>
      <c r="AJ86" s="145"/>
      <c r="AK86" s="113"/>
      <c r="AL86" s="501" t="s">
        <v>13</v>
      </c>
      <c r="AM86" s="502"/>
      <c r="AN86" s="502"/>
      <c r="AO86" s="159">
        <f t="shared" si="85"/>
        <v>3380.5182389937108</v>
      </c>
      <c r="AP86" s="159">
        <f t="shared" si="86"/>
        <v>415.88882352941175</v>
      </c>
      <c r="AQ86" s="159">
        <f t="shared" si="87"/>
        <v>144.01256666666669</v>
      </c>
    </row>
    <row r="87" spans="1:43">
      <c r="A87" s="145"/>
      <c r="B87" s="110" t="s">
        <v>300</v>
      </c>
      <c r="C87" s="501" t="s">
        <v>301</v>
      </c>
      <c r="D87" s="502"/>
      <c r="E87" s="502"/>
      <c r="F87" s="149">
        <f t="shared" si="100"/>
        <v>0</v>
      </c>
      <c r="G87" s="149">
        <f t="shared" si="101"/>
        <v>0</v>
      </c>
      <c r="H87" s="149">
        <f t="shared" si="102"/>
        <v>0</v>
      </c>
      <c r="I87" s="149">
        <f t="shared" si="103"/>
        <v>0</v>
      </c>
      <c r="J87" s="149">
        <f t="shared" si="104"/>
        <v>7656.2780000000002</v>
      </c>
      <c r="K87" s="149">
        <f t="shared" si="105"/>
        <v>30996.885000000002</v>
      </c>
      <c r="L87" s="101">
        <f t="shared" si="106"/>
        <v>0</v>
      </c>
      <c r="M87" s="101">
        <f t="shared" si="107"/>
        <v>0</v>
      </c>
      <c r="N87" s="101">
        <f t="shared" si="108"/>
        <v>0</v>
      </c>
      <c r="O87" s="101">
        <f t="shared" si="109"/>
        <v>0</v>
      </c>
      <c r="P87" s="101">
        <f t="shared" si="110"/>
        <v>546.87699999999995</v>
      </c>
      <c r="Q87" s="101">
        <f t="shared" si="111"/>
        <v>4241.6790000000001</v>
      </c>
      <c r="R87" s="101">
        <f t="shared" si="112"/>
        <v>0</v>
      </c>
      <c r="S87" s="101">
        <f t="shared" si="113"/>
        <v>0</v>
      </c>
      <c r="T87" s="101">
        <f t="shared" si="114"/>
        <v>0</v>
      </c>
      <c r="U87" s="101">
        <f t="shared" si="115"/>
        <v>0</v>
      </c>
      <c r="V87" s="101">
        <f t="shared" si="116"/>
        <v>15916.998999999998</v>
      </c>
      <c r="W87" s="150">
        <f t="shared" si="117"/>
        <v>21425.917000000001</v>
      </c>
      <c r="Z87" s="145"/>
      <c r="AA87" s="110" t="s">
        <v>300</v>
      </c>
      <c r="AB87" s="501" t="s">
        <v>301</v>
      </c>
      <c r="AC87" s="502"/>
      <c r="AD87" s="502"/>
      <c r="AE87" s="34">
        <f t="shared" si="99"/>
        <v>38653.163</v>
      </c>
      <c r="AF87" s="34">
        <f t="shared" si="83"/>
        <v>4788.5560000000005</v>
      </c>
      <c r="AG87" s="34">
        <f t="shared" si="84"/>
        <v>37342.915999999997</v>
      </c>
      <c r="AJ87" s="145"/>
      <c r="AK87" s="110" t="s">
        <v>300</v>
      </c>
      <c r="AL87" s="501" t="s">
        <v>301</v>
      </c>
      <c r="AM87" s="502"/>
      <c r="AN87" s="502"/>
      <c r="AO87" s="159">
        <f t="shared" si="85"/>
        <v>24310.165408805031</v>
      </c>
      <c r="AP87" s="159">
        <f t="shared" si="86"/>
        <v>2816.7976470588237</v>
      </c>
      <c r="AQ87" s="159">
        <f t="shared" si="87"/>
        <v>1244.7638666666667</v>
      </c>
    </row>
    <row r="88" spans="1:43">
      <c r="A88" s="145"/>
      <c r="B88" s="111" t="s">
        <v>20</v>
      </c>
      <c r="C88" s="501" t="s">
        <v>302</v>
      </c>
      <c r="D88" s="502"/>
      <c r="E88" s="502"/>
      <c r="F88" s="149">
        <f t="shared" si="100"/>
        <v>0</v>
      </c>
      <c r="G88" s="149">
        <f t="shared" si="101"/>
        <v>0</v>
      </c>
      <c r="H88" s="149">
        <f t="shared" si="102"/>
        <v>0</v>
      </c>
      <c r="I88" s="149">
        <f t="shared" si="103"/>
        <v>0</v>
      </c>
      <c r="J88" s="149">
        <f t="shared" si="104"/>
        <v>91.238</v>
      </c>
      <c r="K88" s="149">
        <f t="shared" si="105"/>
        <v>101.745</v>
      </c>
      <c r="L88" s="101">
        <f t="shared" si="106"/>
        <v>0</v>
      </c>
      <c r="M88" s="101">
        <f t="shared" si="107"/>
        <v>0</v>
      </c>
      <c r="N88" s="101">
        <f t="shared" si="108"/>
        <v>0</v>
      </c>
      <c r="O88" s="101">
        <f t="shared" si="109"/>
        <v>0</v>
      </c>
      <c r="P88" s="101">
        <f t="shared" si="110"/>
        <v>6.5169999999999995</v>
      </c>
      <c r="Q88" s="101">
        <f t="shared" si="111"/>
        <v>13.923</v>
      </c>
      <c r="R88" s="101">
        <f t="shared" si="112"/>
        <v>0</v>
      </c>
      <c r="S88" s="101">
        <f t="shared" si="113"/>
        <v>0</v>
      </c>
      <c r="T88" s="101">
        <f t="shared" si="114"/>
        <v>0</v>
      </c>
      <c r="U88" s="101">
        <f t="shared" si="115"/>
        <v>0</v>
      </c>
      <c r="V88" s="101">
        <f t="shared" si="116"/>
        <v>189.67899999999997</v>
      </c>
      <c r="W88" s="150">
        <f t="shared" si="117"/>
        <v>70.329000000000008</v>
      </c>
      <c r="Z88" s="145"/>
      <c r="AA88" s="111" t="s">
        <v>20</v>
      </c>
      <c r="AB88" s="501" t="s">
        <v>302</v>
      </c>
      <c r="AC88" s="502"/>
      <c r="AD88" s="502"/>
      <c r="AE88" s="34">
        <f t="shared" si="99"/>
        <v>192.983</v>
      </c>
      <c r="AF88" s="34">
        <f t="shared" si="83"/>
        <v>20.439999999999998</v>
      </c>
      <c r="AG88" s="34">
        <f t="shared" si="84"/>
        <v>260.00799999999998</v>
      </c>
      <c r="AJ88" s="145"/>
      <c r="AK88" s="111" t="s">
        <v>20</v>
      </c>
      <c r="AL88" s="501" t="s">
        <v>302</v>
      </c>
      <c r="AM88" s="502"/>
      <c r="AN88" s="502"/>
      <c r="AO88" s="159">
        <f t="shared" si="85"/>
        <v>121.37295597484277</v>
      </c>
      <c r="AP88" s="159">
        <f t="shared" si="86"/>
        <v>12.023529411764704</v>
      </c>
      <c r="AQ88" s="159">
        <f t="shared" si="87"/>
        <v>8.6669333333333327</v>
      </c>
    </row>
    <row r="89" spans="1:43">
      <c r="A89" s="145"/>
      <c r="B89" s="111" t="s">
        <v>19</v>
      </c>
      <c r="C89" s="501" t="s">
        <v>303</v>
      </c>
      <c r="D89" s="502"/>
      <c r="E89" s="502"/>
      <c r="F89" s="149">
        <f t="shared" si="100"/>
        <v>0</v>
      </c>
      <c r="G89" s="149">
        <f t="shared" si="101"/>
        <v>0</v>
      </c>
      <c r="H89" s="149">
        <f t="shared" si="102"/>
        <v>0</v>
      </c>
      <c r="I89" s="149">
        <f t="shared" si="103"/>
        <v>0</v>
      </c>
      <c r="J89" s="149">
        <f t="shared" si="104"/>
        <v>161.46200000000002</v>
      </c>
      <c r="K89" s="149">
        <f t="shared" si="105"/>
        <v>2142.3450000000003</v>
      </c>
      <c r="L89" s="101">
        <f t="shared" si="106"/>
        <v>0</v>
      </c>
      <c r="M89" s="101">
        <f t="shared" si="107"/>
        <v>0</v>
      </c>
      <c r="N89" s="101">
        <f t="shared" si="108"/>
        <v>0</v>
      </c>
      <c r="O89" s="101">
        <f t="shared" si="109"/>
        <v>0</v>
      </c>
      <c r="P89" s="101">
        <f t="shared" si="110"/>
        <v>11.532999999999999</v>
      </c>
      <c r="Q89" s="101">
        <f t="shared" si="111"/>
        <v>293.16300000000001</v>
      </c>
      <c r="R89" s="101">
        <f t="shared" si="112"/>
        <v>0</v>
      </c>
      <c r="S89" s="101">
        <f t="shared" si="113"/>
        <v>0</v>
      </c>
      <c r="T89" s="101">
        <f t="shared" si="114"/>
        <v>0</v>
      </c>
      <c r="U89" s="101">
        <f t="shared" si="115"/>
        <v>0</v>
      </c>
      <c r="V89" s="101">
        <f t="shared" si="116"/>
        <v>335.67099999999994</v>
      </c>
      <c r="W89" s="150">
        <f t="shared" si="117"/>
        <v>1480.8490000000002</v>
      </c>
      <c r="Z89" s="145"/>
      <c r="AA89" s="111" t="s">
        <v>19</v>
      </c>
      <c r="AB89" s="501" t="s">
        <v>303</v>
      </c>
      <c r="AC89" s="502"/>
      <c r="AD89" s="502"/>
      <c r="AE89" s="34">
        <f t="shared" si="99"/>
        <v>2303.8070000000002</v>
      </c>
      <c r="AF89" s="34">
        <f t="shared" si="83"/>
        <v>304.69600000000003</v>
      </c>
      <c r="AG89" s="34">
        <f t="shared" si="84"/>
        <v>1816.52</v>
      </c>
      <c r="AJ89" s="145"/>
      <c r="AK89" s="111" t="s">
        <v>19</v>
      </c>
      <c r="AL89" s="501" t="s">
        <v>303</v>
      </c>
      <c r="AM89" s="502"/>
      <c r="AN89" s="502"/>
      <c r="AO89" s="159">
        <f t="shared" si="85"/>
        <v>1448.9352201257861</v>
      </c>
      <c r="AP89" s="159">
        <f t="shared" si="86"/>
        <v>179.2329411764706</v>
      </c>
      <c r="AQ89" s="159">
        <f t="shared" si="87"/>
        <v>60.550666666666665</v>
      </c>
    </row>
    <row r="90" spans="1:43" ht="16.5" customHeight="1">
      <c r="A90" s="145"/>
      <c r="B90" s="112"/>
      <c r="C90" s="501" t="s">
        <v>304</v>
      </c>
      <c r="D90" s="502"/>
      <c r="E90" s="502"/>
      <c r="F90" s="149">
        <f t="shared" si="100"/>
        <v>0</v>
      </c>
      <c r="G90" s="149">
        <f t="shared" si="101"/>
        <v>0</v>
      </c>
      <c r="H90" s="149">
        <f t="shared" si="102"/>
        <v>0</v>
      </c>
      <c r="I90" s="149">
        <f t="shared" si="103"/>
        <v>0</v>
      </c>
      <c r="J90" s="149">
        <f t="shared" si="104"/>
        <v>14.896000000000001</v>
      </c>
      <c r="K90" s="149">
        <f t="shared" si="105"/>
        <v>0</v>
      </c>
      <c r="L90" s="101">
        <f t="shared" si="106"/>
        <v>0</v>
      </c>
      <c r="M90" s="101">
        <f t="shared" si="107"/>
        <v>0</v>
      </c>
      <c r="N90" s="101">
        <f t="shared" si="108"/>
        <v>0</v>
      </c>
      <c r="O90" s="101">
        <f t="shared" si="109"/>
        <v>0</v>
      </c>
      <c r="P90" s="101">
        <f t="shared" si="110"/>
        <v>1.0640000000000001</v>
      </c>
      <c r="Q90" s="101">
        <f t="shared" si="111"/>
        <v>0</v>
      </c>
      <c r="R90" s="101">
        <f t="shared" si="112"/>
        <v>0</v>
      </c>
      <c r="S90" s="101">
        <f t="shared" si="113"/>
        <v>0</v>
      </c>
      <c r="T90" s="101">
        <f t="shared" si="114"/>
        <v>0</v>
      </c>
      <c r="U90" s="101">
        <f t="shared" si="115"/>
        <v>0</v>
      </c>
      <c r="V90" s="101">
        <f t="shared" si="116"/>
        <v>30.967999999999996</v>
      </c>
      <c r="W90" s="150">
        <f t="shared" si="117"/>
        <v>0</v>
      </c>
      <c r="Z90" s="145"/>
      <c r="AA90" s="112"/>
      <c r="AB90" s="501" t="s">
        <v>304</v>
      </c>
      <c r="AC90" s="502"/>
      <c r="AD90" s="502"/>
      <c r="AE90" s="34">
        <f>SUM(F90:K90)</f>
        <v>14.896000000000001</v>
      </c>
      <c r="AF90" s="34">
        <f t="shared" si="83"/>
        <v>1.0640000000000001</v>
      </c>
      <c r="AG90" s="34">
        <f t="shared" si="84"/>
        <v>30.967999999999996</v>
      </c>
      <c r="AJ90" s="145"/>
      <c r="AK90" s="112"/>
      <c r="AL90" s="501" t="s">
        <v>304</v>
      </c>
      <c r="AM90" s="502"/>
      <c r="AN90" s="502"/>
      <c r="AO90" s="159">
        <f t="shared" si="85"/>
        <v>9.3685534591194966</v>
      </c>
      <c r="AP90" s="159">
        <f t="shared" si="86"/>
        <v>0.62588235294117656</v>
      </c>
      <c r="AQ90" s="159">
        <f t="shared" si="87"/>
        <v>1.0322666666666664</v>
      </c>
    </row>
    <row r="91" spans="1:43" ht="17.25" customHeight="1">
      <c r="A91" s="145"/>
      <c r="B91" s="112"/>
      <c r="C91" s="501" t="s">
        <v>305</v>
      </c>
      <c r="D91" s="502"/>
      <c r="E91" s="502"/>
      <c r="F91" s="149">
        <f t="shared" si="100"/>
        <v>0</v>
      </c>
      <c r="G91" s="149">
        <f t="shared" si="101"/>
        <v>0</v>
      </c>
      <c r="H91" s="149">
        <f t="shared" si="102"/>
        <v>0</v>
      </c>
      <c r="I91" s="149">
        <f t="shared" si="103"/>
        <v>0</v>
      </c>
      <c r="J91" s="149">
        <f t="shared" si="104"/>
        <v>46.018000000000001</v>
      </c>
      <c r="K91" s="149">
        <f t="shared" si="105"/>
        <v>625.86</v>
      </c>
      <c r="L91" s="101">
        <f t="shared" si="106"/>
        <v>0</v>
      </c>
      <c r="M91" s="101">
        <f t="shared" si="107"/>
        <v>0</v>
      </c>
      <c r="N91" s="101">
        <f t="shared" si="108"/>
        <v>0</v>
      </c>
      <c r="O91" s="101">
        <f t="shared" si="109"/>
        <v>0</v>
      </c>
      <c r="P91" s="101">
        <f t="shared" si="110"/>
        <v>3.2869999999999999</v>
      </c>
      <c r="Q91" s="101">
        <f t="shared" si="111"/>
        <v>85.644000000000005</v>
      </c>
      <c r="R91" s="101">
        <f t="shared" si="112"/>
        <v>0</v>
      </c>
      <c r="S91" s="101">
        <f t="shared" si="113"/>
        <v>0</v>
      </c>
      <c r="T91" s="101">
        <f t="shared" si="114"/>
        <v>0</v>
      </c>
      <c r="U91" s="101">
        <f t="shared" si="115"/>
        <v>0</v>
      </c>
      <c r="V91" s="101">
        <f t="shared" si="116"/>
        <v>95.668999999999983</v>
      </c>
      <c r="W91" s="150">
        <f t="shared" si="117"/>
        <v>432.61200000000002</v>
      </c>
      <c r="Z91" s="145"/>
      <c r="AA91" s="112"/>
      <c r="AB91" s="501" t="s">
        <v>305</v>
      </c>
      <c r="AC91" s="502"/>
      <c r="AD91" s="502"/>
      <c r="AE91" s="34">
        <f t="shared" si="99"/>
        <v>671.87800000000004</v>
      </c>
      <c r="AF91" s="34">
        <f t="shared" si="83"/>
        <v>88.931000000000012</v>
      </c>
      <c r="AG91" s="34">
        <f t="shared" si="84"/>
        <v>528.28099999999995</v>
      </c>
      <c r="AJ91" s="145"/>
      <c r="AK91" s="112"/>
      <c r="AL91" s="501" t="s">
        <v>305</v>
      </c>
      <c r="AM91" s="502"/>
      <c r="AN91" s="502"/>
      <c r="AO91" s="159">
        <f t="shared" si="85"/>
        <v>422.56477987421385</v>
      </c>
      <c r="AP91" s="159">
        <f t="shared" si="86"/>
        <v>52.312352941176478</v>
      </c>
      <c r="AQ91" s="159">
        <f t="shared" si="87"/>
        <v>17.609366666666666</v>
      </c>
    </row>
    <row r="92" spans="1:43" ht="17.5" thickBot="1">
      <c r="A92" s="146"/>
      <c r="B92" s="147"/>
      <c r="C92" s="527" t="s">
        <v>47</v>
      </c>
      <c r="D92" s="528"/>
      <c r="E92" s="528"/>
      <c r="F92" s="151">
        <f t="shared" si="100"/>
        <v>0</v>
      </c>
      <c r="G92" s="151">
        <f t="shared" si="101"/>
        <v>0</v>
      </c>
      <c r="H92" s="151">
        <f t="shared" si="102"/>
        <v>0</v>
      </c>
      <c r="I92" s="151">
        <f t="shared" si="103"/>
        <v>0</v>
      </c>
      <c r="J92" s="151">
        <f t="shared" si="104"/>
        <v>3987.0740000000001</v>
      </c>
      <c r="K92" s="151">
        <f t="shared" si="105"/>
        <v>13059.840000000002</v>
      </c>
      <c r="L92" s="152">
        <f t="shared" si="106"/>
        <v>0</v>
      </c>
      <c r="M92" s="152">
        <f t="shared" si="107"/>
        <v>0</v>
      </c>
      <c r="N92" s="152">
        <f t="shared" si="108"/>
        <v>0</v>
      </c>
      <c r="O92" s="152">
        <f t="shared" si="109"/>
        <v>0</v>
      </c>
      <c r="P92" s="152">
        <f t="shared" si="110"/>
        <v>284.791</v>
      </c>
      <c r="Q92" s="152">
        <f t="shared" si="111"/>
        <v>1787.136</v>
      </c>
      <c r="R92" s="152">
        <f t="shared" si="112"/>
        <v>0</v>
      </c>
      <c r="S92" s="152">
        <f t="shared" si="113"/>
        <v>0</v>
      </c>
      <c r="T92" s="152">
        <f t="shared" si="114"/>
        <v>0</v>
      </c>
      <c r="U92" s="152">
        <f t="shared" si="115"/>
        <v>0</v>
      </c>
      <c r="V92" s="152">
        <f t="shared" si="116"/>
        <v>8288.9169999999995</v>
      </c>
      <c r="W92" s="153">
        <f>K54*U$24</f>
        <v>9027.3279999999995</v>
      </c>
      <c r="Z92" s="146"/>
      <c r="AA92" s="147"/>
      <c r="AB92" s="527" t="s">
        <v>47</v>
      </c>
      <c r="AC92" s="528"/>
      <c r="AD92" s="528"/>
      <c r="AE92" s="34">
        <f t="shared" si="99"/>
        <v>17046.914000000001</v>
      </c>
      <c r="AF92" s="34">
        <f t="shared" si="83"/>
        <v>2071.9270000000001</v>
      </c>
      <c r="AG92" s="34">
        <f t="shared" si="84"/>
        <v>17316.244999999999</v>
      </c>
      <c r="AJ92" s="146"/>
      <c r="AK92" s="147"/>
      <c r="AL92" s="527" t="s">
        <v>47</v>
      </c>
      <c r="AM92" s="528"/>
      <c r="AN92" s="528"/>
      <c r="AO92" s="159">
        <f t="shared" si="85"/>
        <v>10721.329559748428</v>
      </c>
      <c r="AP92" s="159">
        <f t="shared" si="86"/>
        <v>1218.7805882352943</v>
      </c>
      <c r="AQ92" s="159">
        <f t="shared" si="87"/>
        <v>577.20816666666667</v>
      </c>
    </row>
  </sheetData>
  <mergeCells count="174">
    <mergeCell ref="AL87:AN87"/>
    <mergeCell ref="AL88:AN88"/>
    <mergeCell ref="AL89:AN89"/>
    <mergeCell ref="AL90:AN90"/>
    <mergeCell ref="AL91:AN91"/>
    <mergeCell ref="AL92:AN92"/>
    <mergeCell ref="AL73:AN73"/>
    <mergeCell ref="AL74:AN74"/>
    <mergeCell ref="AJ79:AN80"/>
    <mergeCell ref="AM81:AN81"/>
    <mergeCell ref="AM82:AM83"/>
    <mergeCell ref="AL86:AN86"/>
    <mergeCell ref="AB87:AD87"/>
    <mergeCell ref="AB88:AD88"/>
    <mergeCell ref="AB89:AD89"/>
    <mergeCell ref="AB90:AD90"/>
    <mergeCell ref="AC81:AD81"/>
    <mergeCell ref="AB73:AD73"/>
    <mergeCell ref="AB74:AD74"/>
    <mergeCell ref="Z79:AD80"/>
    <mergeCell ref="AC64:AC65"/>
    <mergeCell ref="AB68:AD68"/>
    <mergeCell ref="AB69:AD69"/>
    <mergeCell ref="AB70:AD70"/>
    <mergeCell ref="AM63:AN63"/>
    <mergeCell ref="AM64:AM65"/>
    <mergeCell ref="AL68:AN68"/>
    <mergeCell ref="AL69:AN69"/>
    <mergeCell ref="AL70:AN70"/>
    <mergeCell ref="AL71:AN71"/>
    <mergeCell ref="AL72:AN72"/>
    <mergeCell ref="AC82:AC83"/>
    <mergeCell ref="AB86:AD86"/>
    <mergeCell ref="D81:E81"/>
    <mergeCell ref="D82:D83"/>
    <mergeCell ref="C92:E92"/>
    <mergeCell ref="Z61:AD62"/>
    <mergeCell ref="L60:Q60"/>
    <mergeCell ref="R60:W60"/>
    <mergeCell ref="F78:K78"/>
    <mergeCell ref="L78:Q78"/>
    <mergeCell ref="R78:W78"/>
    <mergeCell ref="A79:E80"/>
    <mergeCell ref="I79:I80"/>
    <mergeCell ref="J79:J80"/>
    <mergeCell ref="K79:K80"/>
    <mergeCell ref="O79:O80"/>
    <mergeCell ref="C90:E90"/>
    <mergeCell ref="C91:E91"/>
    <mergeCell ref="P79:P80"/>
    <mergeCell ref="C86:E86"/>
    <mergeCell ref="C87:E87"/>
    <mergeCell ref="C88:E88"/>
    <mergeCell ref="C89:E89"/>
    <mergeCell ref="Q79:Q80"/>
    <mergeCell ref="AB91:AD91"/>
    <mergeCell ref="AB92:AD92"/>
    <mergeCell ref="AY20:AY21"/>
    <mergeCell ref="AZ20:AZ21"/>
    <mergeCell ref="I61:I62"/>
    <mergeCell ref="O61:O62"/>
    <mergeCell ref="U61:U62"/>
    <mergeCell ref="J61:J62"/>
    <mergeCell ref="K61:K62"/>
    <mergeCell ref="P61:P62"/>
    <mergeCell ref="Q61:Q62"/>
    <mergeCell ref="W20:W21"/>
    <mergeCell ref="AA20:AA21"/>
    <mergeCell ref="AB20:AB21"/>
    <mergeCell ref="O17:O21"/>
    <mergeCell ref="P17:W17"/>
    <mergeCell ref="F60:K60"/>
    <mergeCell ref="V61:V62"/>
    <mergeCell ref="AD42:AE43"/>
    <mergeCell ref="AF42:AG42"/>
    <mergeCell ref="AF43:AG43"/>
    <mergeCell ref="AC44:AC51"/>
    <mergeCell ref="AF47:AG47"/>
    <mergeCell ref="AF48:AG48"/>
    <mergeCell ref="AF49:AG49"/>
    <mergeCell ref="AJ61:AN62"/>
    <mergeCell ref="AO19:AP19"/>
    <mergeCell ref="AS19:AV19"/>
    <mergeCell ref="AW19:AX19"/>
    <mergeCell ref="AN20:AN21"/>
    <mergeCell ref="AO20:AO21"/>
    <mergeCell ref="AP20:AP21"/>
    <mergeCell ref="AQ20:AQ21"/>
    <mergeCell ref="AR20:AR21"/>
    <mergeCell ref="AV20:AV21"/>
    <mergeCell ref="AW20:AW21"/>
    <mergeCell ref="AX20:AX21"/>
    <mergeCell ref="P18:U18"/>
    <mergeCell ref="X18:AC18"/>
    <mergeCell ref="AJ17:AJ21"/>
    <mergeCell ref="AK17:AR17"/>
    <mergeCell ref="AS17:AZ17"/>
    <mergeCell ref="AK18:AP18"/>
    <mergeCell ref="AQ18:AR19"/>
    <mergeCell ref="AS18:AX18"/>
    <mergeCell ref="AY18:AZ19"/>
    <mergeCell ref="AK19:AN19"/>
    <mergeCell ref="AC20:AC21"/>
    <mergeCell ref="AD20:AD21"/>
    <mergeCell ref="AE20:AE21"/>
    <mergeCell ref="P19:S19"/>
    <mergeCell ref="T19:U19"/>
    <mergeCell ref="X19:AA19"/>
    <mergeCell ref="AB19:AC19"/>
    <mergeCell ref="X17:AE17"/>
    <mergeCell ref="V18:W19"/>
    <mergeCell ref="AD18:AE19"/>
    <mergeCell ref="S20:S21"/>
    <mergeCell ref="T20:T21"/>
    <mergeCell ref="U20:U21"/>
    <mergeCell ref="V20:V21"/>
    <mergeCell ref="U79:U80"/>
    <mergeCell ref="V79:V80"/>
    <mergeCell ref="W79:W80"/>
    <mergeCell ref="AC63:AD63"/>
    <mergeCell ref="W61:W62"/>
    <mergeCell ref="C74:E74"/>
    <mergeCell ref="C68:E68"/>
    <mergeCell ref="C69:E69"/>
    <mergeCell ref="C70:E70"/>
    <mergeCell ref="C71:E71"/>
    <mergeCell ref="C72:E72"/>
    <mergeCell ref="C73:E73"/>
    <mergeCell ref="A61:E62"/>
    <mergeCell ref="D63:E63"/>
    <mergeCell ref="D64:D65"/>
    <mergeCell ref="AB71:AD71"/>
    <mergeCell ref="AB72:AD72"/>
    <mergeCell ref="AD50:AE51"/>
    <mergeCell ref="AF50:AG50"/>
    <mergeCell ref="AF51:AG51"/>
    <mergeCell ref="C54:E54"/>
    <mergeCell ref="A10:B10"/>
    <mergeCell ref="A11:A12"/>
    <mergeCell ref="AC35:AG35"/>
    <mergeCell ref="AC36:AC43"/>
    <mergeCell ref="AF39:AG39"/>
    <mergeCell ref="AF40:AG40"/>
    <mergeCell ref="AF41:AG41"/>
    <mergeCell ref="D42:D44"/>
    <mergeCell ref="C49:E49"/>
    <mergeCell ref="C50:E50"/>
    <mergeCell ref="C51:E51"/>
    <mergeCell ref="C52:E52"/>
    <mergeCell ref="C53:E53"/>
    <mergeCell ref="D24:D26"/>
    <mergeCell ref="C31:E31"/>
    <mergeCell ref="C33:E33"/>
    <mergeCell ref="C34:E34"/>
    <mergeCell ref="C35:E35"/>
    <mergeCell ref="A37:A54"/>
    <mergeCell ref="B37:E37"/>
    <mergeCell ref="D39:E39"/>
    <mergeCell ref="D40:E40"/>
    <mergeCell ref="D41:E41"/>
    <mergeCell ref="C48:E48"/>
    <mergeCell ref="A17:E18"/>
    <mergeCell ref="F17:H17"/>
    <mergeCell ref="L17:L18"/>
    <mergeCell ref="A19:A36"/>
    <mergeCell ref="B19:E19"/>
    <mergeCell ref="D21:E21"/>
    <mergeCell ref="D22:E22"/>
    <mergeCell ref="C32:E32"/>
    <mergeCell ref="C38:E38"/>
    <mergeCell ref="C30:E30"/>
    <mergeCell ref="C36:E36"/>
    <mergeCell ref="C20:E20"/>
    <mergeCell ref="D23:E23"/>
  </mergeCells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8"/>
  <sheetViews>
    <sheetView workbookViewId="0">
      <selection activeCell="G18" sqref="G18"/>
    </sheetView>
  </sheetViews>
  <sheetFormatPr defaultRowHeight="17"/>
  <cols>
    <col min="1" max="1" width="33.08203125" customWidth="1"/>
    <col min="2" max="14" width="8.83203125" customWidth="1"/>
  </cols>
  <sheetData>
    <row r="1" spans="1:26">
      <c r="A1" s="32" t="s">
        <v>243</v>
      </c>
      <c r="B1" t="s">
        <v>400</v>
      </c>
      <c r="V1" s="32" t="s">
        <v>242</v>
      </c>
      <c r="W1" t="s">
        <v>241</v>
      </c>
    </row>
    <row r="2" spans="1:26">
      <c r="B2" t="s">
        <v>153</v>
      </c>
      <c r="C2" t="s">
        <v>399</v>
      </c>
      <c r="W2" t="s">
        <v>239</v>
      </c>
    </row>
    <row r="3" spans="1:26">
      <c r="B3" t="s">
        <v>401</v>
      </c>
      <c r="W3" t="s">
        <v>238</v>
      </c>
    </row>
    <row r="5" spans="1:26">
      <c r="A5" t="s">
        <v>402</v>
      </c>
    </row>
    <row r="6" spans="1:26" ht="17.5" thickBot="1">
      <c r="A6" s="32" t="s">
        <v>408</v>
      </c>
      <c r="N6" t="s">
        <v>411</v>
      </c>
      <c r="T6" t="s">
        <v>422</v>
      </c>
    </row>
    <row r="7" spans="1:26" ht="18" thickTop="1" thickBot="1">
      <c r="B7" s="659" t="s">
        <v>156</v>
      </c>
      <c r="C7" s="659"/>
      <c r="D7" s="659" t="s">
        <v>157</v>
      </c>
      <c r="E7" s="659"/>
      <c r="F7" s="659" t="s">
        <v>158</v>
      </c>
      <c r="G7" s="659"/>
      <c r="H7" s="659" t="s">
        <v>403</v>
      </c>
      <c r="I7" s="659"/>
      <c r="J7" s="659" t="s">
        <v>246</v>
      </c>
      <c r="K7" s="659"/>
      <c r="L7" s="659" t="s">
        <v>11</v>
      </c>
      <c r="M7" s="659"/>
      <c r="N7" s="659"/>
      <c r="T7" s="451" t="s">
        <v>421</v>
      </c>
      <c r="U7" s="452"/>
      <c r="V7" s="453"/>
      <c r="W7" s="173" t="s">
        <v>156</v>
      </c>
      <c r="X7" s="174" t="s">
        <v>157</v>
      </c>
      <c r="Y7" t="s">
        <v>423</v>
      </c>
      <c r="Z7" t="s">
        <v>424</v>
      </c>
    </row>
    <row r="8" spans="1:26" ht="24.5" thickTop="1">
      <c r="B8" s="169" t="s">
        <v>404</v>
      </c>
      <c r="C8" s="169" t="s">
        <v>41</v>
      </c>
      <c r="D8" s="169" t="s">
        <v>404</v>
      </c>
      <c r="E8" s="169" t="s">
        <v>41</v>
      </c>
      <c r="F8" s="169" t="s">
        <v>404</v>
      </c>
      <c r="G8" s="169" t="s">
        <v>41</v>
      </c>
      <c r="H8" s="169" t="s">
        <v>404</v>
      </c>
      <c r="I8" s="169" t="s">
        <v>41</v>
      </c>
      <c r="J8" s="169" t="s">
        <v>404</v>
      </c>
      <c r="K8" s="169" t="s">
        <v>41</v>
      </c>
      <c r="L8" s="169" t="s">
        <v>404</v>
      </c>
      <c r="M8" s="169" t="s">
        <v>41</v>
      </c>
      <c r="N8" s="169" t="s">
        <v>405</v>
      </c>
      <c r="T8" s="454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</row>
    <row r="9" spans="1:26" ht="32">
      <c r="A9" s="165" t="s">
        <v>409</v>
      </c>
      <c r="B9" s="171">
        <v>3432</v>
      </c>
      <c r="C9" s="171">
        <v>3432</v>
      </c>
      <c r="D9" s="172">
        <v>642</v>
      </c>
      <c r="E9" s="172">
        <v>642</v>
      </c>
      <c r="F9" s="171">
        <v>1989</v>
      </c>
      <c r="G9" s="171">
        <v>1989</v>
      </c>
      <c r="H9" s="171">
        <v>2313</v>
      </c>
      <c r="I9" s="171">
        <v>2313</v>
      </c>
      <c r="J9" s="172">
        <v>796</v>
      </c>
      <c r="K9" s="172">
        <v>796</v>
      </c>
      <c r="L9" s="171">
        <v>9172</v>
      </c>
      <c r="M9" s="171">
        <v>9172</v>
      </c>
      <c r="N9" s="171">
        <v>18344</v>
      </c>
      <c r="T9" s="455"/>
      <c r="U9" s="176" t="s">
        <v>415</v>
      </c>
      <c r="V9" s="180" t="s">
        <v>10</v>
      </c>
      <c r="W9" s="167">
        <v>2.25</v>
      </c>
      <c r="X9" s="168">
        <v>2.09</v>
      </c>
    </row>
    <row r="10" spans="1:26" ht="26">
      <c r="A10" s="165" t="s">
        <v>406</v>
      </c>
      <c r="B10" s="171">
        <v>1225</v>
      </c>
      <c r="C10" s="171">
        <v>1225</v>
      </c>
      <c r="D10" s="172">
        <v>864</v>
      </c>
      <c r="E10" s="172">
        <v>864</v>
      </c>
      <c r="F10" s="171">
        <v>3697</v>
      </c>
      <c r="G10" s="171">
        <v>3697</v>
      </c>
      <c r="H10" s="171">
        <v>1623</v>
      </c>
      <c r="I10" s="171">
        <v>1623</v>
      </c>
      <c r="J10" s="171">
        <v>1291</v>
      </c>
      <c r="K10" s="171">
        <v>1291</v>
      </c>
      <c r="L10" s="171">
        <v>8700</v>
      </c>
      <c r="M10" s="171">
        <v>8700</v>
      </c>
      <c r="N10" s="171">
        <v>17400</v>
      </c>
      <c r="T10" s="455"/>
      <c r="U10" s="181" t="s">
        <v>168</v>
      </c>
      <c r="V10" s="457" t="s">
        <v>10</v>
      </c>
      <c r="W10" s="459">
        <v>1.55</v>
      </c>
      <c r="X10" s="447">
        <v>1</v>
      </c>
    </row>
    <row r="11" spans="1:26" ht="39">
      <c r="A11" s="165" t="s">
        <v>407</v>
      </c>
      <c r="B11" s="171">
        <v>1671</v>
      </c>
      <c r="C11" s="171">
        <v>1671</v>
      </c>
      <c r="D11" s="172">
        <v>280</v>
      </c>
      <c r="E11" s="172">
        <v>280</v>
      </c>
      <c r="F11" s="172">
        <v>857</v>
      </c>
      <c r="G11" s="172">
        <v>857</v>
      </c>
      <c r="H11" s="171">
        <v>1025</v>
      </c>
      <c r="I11" s="171">
        <v>1025</v>
      </c>
      <c r="J11" s="172">
        <v>380</v>
      </c>
      <c r="K11" s="172">
        <v>380</v>
      </c>
      <c r="L11" s="171">
        <v>4213</v>
      </c>
      <c r="M11" s="171">
        <v>4213</v>
      </c>
      <c r="N11" s="171">
        <v>8426</v>
      </c>
      <c r="T11" s="455"/>
      <c r="U11" s="176" t="s">
        <v>416</v>
      </c>
      <c r="V11" s="458"/>
      <c r="W11" s="460"/>
      <c r="X11" s="448"/>
    </row>
    <row r="12" spans="1:26" ht="34">
      <c r="A12" s="165" t="s">
        <v>410</v>
      </c>
      <c r="B12" s="171">
        <v>2896</v>
      </c>
      <c r="C12" s="171">
        <v>2896</v>
      </c>
      <c r="D12" s="171">
        <v>1144</v>
      </c>
      <c r="E12" s="171">
        <v>1144</v>
      </c>
      <c r="F12" s="171">
        <v>4554</v>
      </c>
      <c r="G12" s="171">
        <v>4554</v>
      </c>
      <c r="H12" s="171">
        <v>2648</v>
      </c>
      <c r="I12" s="171">
        <v>2648</v>
      </c>
      <c r="J12" s="171">
        <v>1671</v>
      </c>
      <c r="K12" s="171">
        <v>1671</v>
      </c>
      <c r="L12" s="171">
        <v>12913</v>
      </c>
      <c r="M12" s="171">
        <v>12913</v>
      </c>
      <c r="N12" s="171">
        <v>25826</v>
      </c>
      <c r="T12" s="455"/>
      <c r="U12" s="181" t="s">
        <v>168</v>
      </c>
      <c r="V12" s="180" t="s">
        <v>9</v>
      </c>
      <c r="W12" s="167">
        <v>1.1599999999999999</v>
      </c>
      <c r="X12" s="168">
        <v>1</v>
      </c>
    </row>
    <row r="13" spans="1:26" ht="29">
      <c r="A13" s="164"/>
      <c r="T13" s="455"/>
      <c r="U13" s="176" t="s">
        <v>417</v>
      </c>
      <c r="V13" s="180" t="s">
        <v>10</v>
      </c>
      <c r="W13" s="167">
        <v>1.57</v>
      </c>
      <c r="X13" s="168">
        <v>1.43</v>
      </c>
    </row>
    <row r="14" spans="1:26" ht="28">
      <c r="A14" s="166" t="s">
        <v>412</v>
      </c>
      <c r="T14" s="455"/>
      <c r="U14" s="449" t="s">
        <v>14</v>
      </c>
      <c r="V14" s="180" t="s">
        <v>9</v>
      </c>
      <c r="W14" s="167">
        <v>1.42</v>
      </c>
      <c r="X14" s="168">
        <v>1.41</v>
      </c>
    </row>
    <row r="15" spans="1:26">
      <c r="B15" s="660" t="s">
        <v>156</v>
      </c>
      <c r="C15" s="660"/>
      <c r="D15" s="660" t="s">
        <v>157</v>
      </c>
      <c r="E15" s="660"/>
      <c r="F15" s="660" t="s">
        <v>425</v>
      </c>
      <c r="G15" s="660"/>
      <c r="H15" s="659" t="s">
        <v>403</v>
      </c>
      <c r="I15" s="659"/>
      <c r="J15" s="659" t="s">
        <v>246</v>
      </c>
      <c r="K15" s="659"/>
      <c r="L15" s="659" t="s">
        <v>11</v>
      </c>
      <c r="M15" s="659"/>
      <c r="N15" s="659"/>
      <c r="T15" s="455"/>
      <c r="U15" s="450"/>
      <c r="V15" s="180" t="s">
        <v>10</v>
      </c>
      <c r="W15" s="167">
        <v>1.82</v>
      </c>
      <c r="X15" s="168">
        <v>1.82</v>
      </c>
    </row>
    <row r="16" spans="1:26">
      <c r="B16" s="186" t="s">
        <v>404</v>
      </c>
      <c r="C16" s="186" t="s">
        <v>41</v>
      </c>
      <c r="D16" s="186" t="s">
        <v>404</v>
      </c>
      <c r="E16" s="186" t="s">
        <v>41</v>
      </c>
      <c r="F16" s="186" t="s">
        <v>404</v>
      </c>
      <c r="G16" s="186" t="s">
        <v>41</v>
      </c>
      <c r="H16" s="169" t="s">
        <v>404</v>
      </c>
      <c r="I16" s="169" t="s">
        <v>41</v>
      </c>
      <c r="J16" s="169" t="s">
        <v>404</v>
      </c>
      <c r="K16" s="169" t="s">
        <v>41</v>
      </c>
      <c r="L16" s="169" t="s">
        <v>404</v>
      </c>
      <c r="M16" s="169" t="s">
        <v>41</v>
      </c>
      <c r="N16" s="169" t="s">
        <v>405</v>
      </c>
      <c r="T16" s="455"/>
      <c r="U16" s="181" t="s">
        <v>418</v>
      </c>
      <c r="V16" s="180" t="s">
        <v>9</v>
      </c>
      <c r="W16" s="167">
        <v>3.1</v>
      </c>
      <c r="X16" s="168">
        <v>2.31</v>
      </c>
    </row>
    <row r="17" spans="1:24" ht="32">
      <c r="A17" s="165" t="s">
        <v>409</v>
      </c>
      <c r="B17" s="187">
        <v>1731</v>
      </c>
      <c r="C17" s="187">
        <v>1731</v>
      </c>
      <c r="D17" s="188">
        <v>452</v>
      </c>
      <c r="E17" s="188">
        <v>452</v>
      </c>
      <c r="F17" s="162">
        <f>F9/$Z$8</f>
        <v>69.086488364015281</v>
      </c>
      <c r="G17" s="162">
        <f t="shared" ref="G17:G20" si="0">G9/$Z$8</f>
        <v>69.086488364015281</v>
      </c>
      <c r="H17" s="98"/>
      <c r="I17" s="98"/>
      <c r="J17" s="98"/>
      <c r="K17" s="98"/>
      <c r="L17" s="170">
        <v>2183</v>
      </c>
      <c r="M17" s="170">
        <v>2183</v>
      </c>
      <c r="N17" s="170">
        <v>4366</v>
      </c>
      <c r="T17" s="456"/>
      <c r="U17" s="176" t="s">
        <v>419</v>
      </c>
      <c r="V17" s="180" t="s">
        <v>10</v>
      </c>
      <c r="W17" s="167">
        <v>3.1</v>
      </c>
      <c r="X17" s="168">
        <v>2.31</v>
      </c>
    </row>
    <row r="18" spans="1:24" ht="26">
      <c r="A18" s="165" t="s">
        <v>406</v>
      </c>
      <c r="B18" s="188">
        <v>544</v>
      </c>
      <c r="C18" s="188">
        <v>544</v>
      </c>
      <c r="D18" s="188">
        <v>827</v>
      </c>
      <c r="E18" s="188">
        <v>827</v>
      </c>
      <c r="F18" s="162">
        <f t="shared" ref="F18" si="1">F10/$Z$8</f>
        <v>128.41264327891631</v>
      </c>
      <c r="G18" s="162">
        <f t="shared" si="0"/>
        <v>128.41264327891631</v>
      </c>
      <c r="H18" s="98"/>
      <c r="I18" s="98"/>
      <c r="J18" s="98"/>
      <c r="K18" s="98"/>
      <c r="L18" s="170">
        <v>1371</v>
      </c>
      <c r="M18" s="170">
        <v>1371</v>
      </c>
      <c r="N18" s="170">
        <v>2742</v>
      </c>
      <c r="T18" s="461" t="s">
        <v>420</v>
      </c>
      <c r="U18" s="181" t="s">
        <v>414</v>
      </c>
      <c r="V18" s="180" t="s">
        <v>9</v>
      </c>
      <c r="W18" s="167">
        <v>2.25</v>
      </c>
      <c r="X18" s="168">
        <v>2.09</v>
      </c>
    </row>
    <row r="19" spans="1:24" ht="39">
      <c r="A19" s="165" t="s">
        <v>407</v>
      </c>
      <c r="B19" s="188">
        <v>874</v>
      </c>
      <c r="C19" s="188">
        <v>874</v>
      </c>
      <c r="D19" s="188">
        <v>188</v>
      </c>
      <c r="E19" s="188">
        <v>188</v>
      </c>
      <c r="F19" s="162">
        <f t="shared" ref="F19" si="2">F11/$Z$8</f>
        <v>29.767280305661689</v>
      </c>
      <c r="G19" s="162">
        <f t="shared" si="0"/>
        <v>29.767280305661689</v>
      </c>
      <c r="H19" s="98"/>
      <c r="I19" s="98"/>
      <c r="J19" s="98"/>
      <c r="K19" s="98"/>
      <c r="L19" s="170">
        <v>1062</v>
      </c>
      <c r="M19" s="170">
        <v>1062</v>
      </c>
      <c r="N19" s="170">
        <v>2124</v>
      </c>
      <c r="T19" s="455"/>
      <c r="U19" s="176" t="s">
        <v>415</v>
      </c>
      <c r="V19" s="180" t="s">
        <v>10</v>
      </c>
      <c r="W19" s="167">
        <v>2.25</v>
      </c>
      <c r="X19" s="168">
        <v>2.09</v>
      </c>
    </row>
    <row r="20" spans="1:24" ht="34">
      <c r="A20" s="165" t="s">
        <v>410</v>
      </c>
      <c r="B20" s="187">
        <v>1418</v>
      </c>
      <c r="C20" s="187">
        <v>1418</v>
      </c>
      <c r="D20" s="187">
        <v>1015</v>
      </c>
      <c r="E20" s="187">
        <v>1015</v>
      </c>
      <c r="F20" s="162">
        <f t="shared" ref="F20" si="3">F12/$Z$8</f>
        <v>158.17992358457798</v>
      </c>
      <c r="G20" s="162">
        <f t="shared" si="0"/>
        <v>158.17992358457798</v>
      </c>
      <c r="H20" s="98"/>
      <c r="I20" s="98"/>
      <c r="J20" s="98"/>
      <c r="K20" s="98"/>
      <c r="L20" s="170">
        <v>2433</v>
      </c>
      <c r="M20" s="170">
        <v>2433</v>
      </c>
      <c r="N20" s="170">
        <v>4866</v>
      </c>
      <c r="T20" s="455"/>
      <c r="U20" s="181" t="s">
        <v>168</v>
      </c>
      <c r="V20" s="457" t="s">
        <v>10</v>
      </c>
      <c r="W20" s="459">
        <v>1.55</v>
      </c>
      <c r="X20" s="447">
        <v>1</v>
      </c>
    </row>
    <row r="21" spans="1:24">
      <c r="T21" s="455"/>
      <c r="U21" s="176" t="s">
        <v>416</v>
      </c>
      <c r="V21" s="458"/>
      <c r="W21" s="460"/>
      <c r="X21" s="448"/>
    </row>
    <row r="22" spans="1:24">
      <c r="T22" s="455"/>
      <c r="U22" s="181" t="s">
        <v>168</v>
      </c>
      <c r="V22" s="180" t="s">
        <v>9</v>
      </c>
      <c r="W22" s="167">
        <v>1.2</v>
      </c>
      <c r="X22" s="168">
        <v>1.25</v>
      </c>
    </row>
    <row r="23" spans="1:24" ht="29">
      <c r="T23" s="455"/>
      <c r="U23" s="176" t="s">
        <v>417</v>
      </c>
      <c r="V23" s="180" t="s">
        <v>10</v>
      </c>
      <c r="W23" s="167">
        <v>1.64</v>
      </c>
      <c r="X23" s="168">
        <v>1.67</v>
      </c>
    </row>
    <row r="24" spans="1:24">
      <c r="T24" s="455"/>
      <c r="U24" s="449" t="s">
        <v>14</v>
      </c>
      <c r="V24" s="180" t="s">
        <v>9</v>
      </c>
      <c r="W24" s="167">
        <v>1.43</v>
      </c>
      <c r="X24" s="168">
        <v>1.41</v>
      </c>
    </row>
    <row r="25" spans="1:24">
      <c r="T25" s="455"/>
      <c r="U25" s="450"/>
      <c r="V25" s="180" t="s">
        <v>10</v>
      </c>
      <c r="W25" s="167">
        <v>1.96</v>
      </c>
      <c r="X25" s="168">
        <v>1.91</v>
      </c>
    </row>
    <row r="26" spans="1:24">
      <c r="T26" s="455"/>
      <c r="U26" s="181" t="s">
        <v>418</v>
      </c>
      <c r="V26" s="180" t="s">
        <v>9</v>
      </c>
      <c r="W26" s="167">
        <v>3.5</v>
      </c>
      <c r="X26" s="168">
        <v>2.02</v>
      </c>
    </row>
    <row r="27" spans="1:24" ht="17.5" thickBot="1">
      <c r="T27" s="462"/>
      <c r="U27" s="182" t="s">
        <v>419</v>
      </c>
      <c r="V27" s="183" t="s">
        <v>10</v>
      </c>
      <c r="W27" s="184">
        <v>3.5</v>
      </c>
      <c r="X27" s="185">
        <v>2.02</v>
      </c>
    </row>
    <row r="28" spans="1:24" ht="17.5" thickTop="1"/>
  </sheetData>
  <mergeCells count="23">
    <mergeCell ref="T18:T27"/>
    <mergeCell ref="V20:V21"/>
    <mergeCell ref="W20:W21"/>
    <mergeCell ref="X20:X21"/>
    <mergeCell ref="U24:U25"/>
    <mergeCell ref="T7:V7"/>
    <mergeCell ref="T8:T17"/>
    <mergeCell ref="V10:V11"/>
    <mergeCell ref="W10:W11"/>
    <mergeCell ref="X10:X11"/>
    <mergeCell ref="U14:U15"/>
    <mergeCell ref="L7:N7"/>
    <mergeCell ref="B15:C15"/>
    <mergeCell ref="D15:E15"/>
    <mergeCell ref="F15:G15"/>
    <mergeCell ref="H15:I15"/>
    <mergeCell ref="J15:K15"/>
    <mergeCell ref="L15:N15"/>
    <mergeCell ref="B7:C7"/>
    <mergeCell ref="D7:E7"/>
    <mergeCell ref="F7:G7"/>
    <mergeCell ref="H7:I7"/>
    <mergeCell ref="J7:K7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"/>
  <sheetViews>
    <sheetView workbookViewId="0">
      <selection activeCell="B3" sqref="B3"/>
    </sheetView>
  </sheetViews>
  <sheetFormatPr defaultRowHeight="17"/>
  <sheetData>
    <row r="1" spans="1:3">
      <c r="A1" s="32" t="s">
        <v>243</v>
      </c>
    </row>
    <row r="2" spans="1:3">
      <c r="B2" t="s">
        <v>153</v>
      </c>
      <c r="C2" t="s">
        <v>426</v>
      </c>
    </row>
    <row r="3" spans="1:3">
      <c r="B3" t="s">
        <v>401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J52" sqref="J52"/>
    </sheetView>
  </sheetViews>
  <sheetFormatPr defaultRowHeight="17"/>
  <cols>
    <col min="2" max="3" width="17.7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2025</v>
      </c>
      <c r="B2" s="411">
        <f>'A.일산테크노밸리(859991)_수정'!EH140</f>
        <v>10581.826974624353</v>
      </c>
      <c r="C2" s="411">
        <f>'E.관광문화단지(849301)_수정'!EQ60+'C.장항공공주택지구(849992)'!EY180+'B.고양영상밸리(849991)_수정'!EQ108</f>
        <v>18232.22109583316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89</vt:i4>
      </vt:variant>
    </vt:vector>
  </HeadingPairs>
  <TitlesOfParts>
    <vt:vector size="89" baseType="lpstr">
      <vt:lpstr>기준년도설정</vt:lpstr>
      <vt:lpstr>exptE-FD-H_pc_od_zone_O_YYMMDD</vt:lpstr>
      <vt:lpstr>exptE-FD-H_pc_od_zone_D_YYMMDD</vt:lpstr>
      <vt:lpstr>exptE-FD-H_bus_od_zone_O_YYMMDD</vt:lpstr>
      <vt:lpstr>exptE-FD-H_bus_od_zone_D_YYMMDD</vt:lpstr>
      <vt:lpstr>exptE-FD-F_fod_zone_O_YYMMDD</vt:lpstr>
      <vt:lpstr>exptE-FD-F_fod_zone_D_YYMMDD</vt:lpstr>
      <vt:lpstr>exptD-FD-H_pc_od_zone_O_YYMMDD</vt:lpstr>
      <vt:lpstr>exptD-FD-H_pc_od_zone_D_YYMMDD</vt:lpstr>
      <vt:lpstr>exptD-FD-H_bus_od_zone_O_YYMMDD</vt:lpstr>
      <vt:lpstr>exptD-FD-H_bus_od_zone_D_YYMMDD</vt:lpstr>
      <vt:lpstr>exptD-FD-F_fod_zone_O_YYMMDD</vt:lpstr>
      <vt:lpstr>exptD-FD-F_fod_zone_D_YYMMDD</vt:lpstr>
      <vt:lpstr>exptC-FD-H_pc_od_zone_O_YYMMDD</vt:lpstr>
      <vt:lpstr>exptC-FD-H_pc_od_zone_D_YYMMDD</vt:lpstr>
      <vt:lpstr>exptC-FD-H_bus_od_zone_O_YYMMDD</vt:lpstr>
      <vt:lpstr>exptC-FD-H_bus_od_zone_D_YYMMDD</vt:lpstr>
      <vt:lpstr>exptC-FD-F_fod_zone_O_YYMMDD</vt:lpstr>
      <vt:lpstr>exptC-FD-F_fod_zone_D_YYMMDD</vt:lpstr>
      <vt:lpstr>exptB-FD-H_pc_od_zone_O_YYMMDD</vt:lpstr>
      <vt:lpstr>exptB-FD-H_pc_od_zone_D_YYMMDD</vt:lpstr>
      <vt:lpstr>exptB-FD-H_bus_od_zone_O_YYMMDD</vt:lpstr>
      <vt:lpstr>exptB-FD-H_bus_od_zone_D_YYMMDD</vt:lpstr>
      <vt:lpstr>exptB-FD-F_fod_zone_O_YYMMDD</vt:lpstr>
      <vt:lpstr>exptB-FD-F_fod_zone_D_YYMMDD</vt:lpstr>
      <vt:lpstr>exptA-FD-H_pc_od_zone_O_YYMMDD</vt:lpstr>
      <vt:lpstr>exptA-FD-H_pc_od_zone_D_YYMMDD</vt:lpstr>
      <vt:lpstr>exptA-FD-H_bus_od_zone_O_YYMMDD</vt:lpstr>
      <vt:lpstr>exptA-FD-H_bus_od_zone_D_YYMMDD</vt:lpstr>
      <vt:lpstr>exptA-FD-F_fod_zone_O_YYMMDD</vt:lpstr>
      <vt:lpstr>exptA-FD-F_fod_zone_D_YYMMDD</vt:lpstr>
      <vt:lpstr>NON-FD-H_pc_od_zone_O_YYMMDD</vt:lpstr>
      <vt:lpstr>NON-FD-H_pc_od_zone_D_YYMMDD</vt:lpstr>
      <vt:lpstr>NON-FD-H_bus_od_zone_O_YYMMDD</vt:lpstr>
      <vt:lpstr>NON-FD-H_bus_od_zone_D_YYMMDD</vt:lpstr>
      <vt:lpstr>NON-FD-F_fod_zone_O_YYMMDD </vt:lpstr>
      <vt:lpstr>NON-FD-F_fod_zone_D_YYMMDD</vt:lpstr>
      <vt:lpstr>onlyA-FD-H_pc_od_zone_O_YYMMDD</vt:lpstr>
      <vt:lpstr>onlyA-FD-H_pc_od_zone_D_YYMMDD</vt:lpstr>
      <vt:lpstr>onlyA-FD-H_bus_od_zone_O_YYMMDD</vt:lpstr>
      <vt:lpstr>onlyA-FD-H_bus_od_zone_D_YYMMDD</vt:lpstr>
      <vt:lpstr>onlyA-FD-F_fod_zone_O_YYMMDD</vt:lpstr>
      <vt:lpstr>onlyA-FD-F_fod_zone_D_YYMMDD</vt:lpstr>
      <vt:lpstr>onlyB-FD-H_pc_od_zone_O_YYMMDD</vt:lpstr>
      <vt:lpstr>onlyB-FD-H_pc_od_zone_D_YYMMDD</vt:lpstr>
      <vt:lpstr>onlyB-FD-H_bus_od_zone_O_YYMMDD</vt:lpstr>
      <vt:lpstr>onlyB-FD-H_bus_od_zone_D_YYMMDD</vt:lpstr>
      <vt:lpstr>onlyB-FD-F_fod_zone_O_YYMMDD</vt:lpstr>
      <vt:lpstr>onlyB-FD-F_fod_zone_D_YYMMDD</vt:lpstr>
      <vt:lpstr>onlyC-FD-H_pc_od_zone_O_YYMMDD</vt:lpstr>
      <vt:lpstr>onlyC-FD-H_pc_od_zone_D_YYMMDD</vt:lpstr>
      <vt:lpstr>onlyC-FD-H_bus_od_zone_O_YYMMDD</vt:lpstr>
      <vt:lpstr>onlyC-FD-H_bus_od_zone_D_YYMMDD</vt:lpstr>
      <vt:lpstr>onlyC-FD-F_fod_zone_O_YYMMDD</vt:lpstr>
      <vt:lpstr>onlyC-FD-F_fod_zone_D_YYMMDD</vt:lpstr>
      <vt:lpstr>onlyD-FD-H_pc_od_zone_O_YYMMDD</vt:lpstr>
      <vt:lpstr>onlyD-FD-H_pc_od_zone_D_YYMMDD</vt:lpstr>
      <vt:lpstr>onlyD-FD-H_bus_od_zone_O_YYMMDD</vt:lpstr>
      <vt:lpstr>onlyD-FD-H_bus_od_zone_D_YYMMDD</vt:lpstr>
      <vt:lpstr>onlyD-FD-F_fod_zone_O_YYMMDD</vt:lpstr>
      <vt:lpstr>onlyD-FD-F_fod_zone_D_YYMMDD</vt:lpstr>
      <vt:lpstr>onlyE-FD-H_pc_od_zone_O_YYMMDD</vt:lpstr>
      <vt:lpstr>onlyE-FD-H_pc_od_zone_D_YYMMDD</vt:lpstr>
      <vt:lpstr>onlyE-FD-H_bus_od_zone_O_YYMMDD</vt:lpstr>
      <vt:lpstr>onlyE-FD-H_bus_od_zone_D_YYMMDD</vt:lpstr>
      <vt:lpstr>onlyE-FD-F_fod_zone_O_YYMMDD </vt:lpstr>
      <vt:lpstr>onlyE-FD-F_fod_zone_D_YYMMDD</vt:lpstr>
      <vt:lpstr>ALL-FD-H_pc_od_zone_O_YYMMDD</vt:lpstr>
      <vt:lpstr>ALL-FD-H_pc_od_zone_D_YYMMDD</vt:lpstr>
      <vt:lpstr>ALL-FD-H_bus_od_zone_O_YYMMDD</vt:lpstr>
      <vt:lpstr>ALL-FD-H_bus_od_zone_D_YYMMDD</vt:lpstr>
      <vt:lpstr>ALL-FD-F_fod_zone_O_YYMMDD</vt:lpstr>
      <vt:lpstr>ALL-FD-F_fod_zone_D_YYMMDD</vt:lpstr>
      <vt:lpstr>E.관광문화단지(849301)_수정</vt:lpstr>
      <vt:lpstr>D.cj라이브시티(849201)_수정</vt:lpstr>
      <vt:lpstr>C.장항공공주택지구(849992)</vt:lpstr>
      <vt:lpstr>B.고양영상밸리(849991)_수정</vt:lpstr>
      <vt:lpstr>A.일산테크노밸리(859991)_수정</vt:lpstr>
      <vt:lpstr>고양시_Modal_split</vt:lpstr>
      <vt:lpstr>고양시_재차인원</vt:lpstr>
      <vt:lpstr>KTDB_발생량도착량_증가율</vt:lpstr>
      <vt:lpstr>KTDB_TripDistribution_2025</vt:lpstr>
      <vt:lpstr>장항공공주택지구_통행량제외분</vt:lpstr>
      <vt:lpstr>S1</vt:lpstr>
      <vt:lpstr>일산테크노밸리</vt:lpstr>
      <vt:lpstr>고양영상밸리</vt:lpstr>
      <vt:lpstr>징힝공공주택지구</vt:lpstr>
      <vt:lpstr>cj라이브시티</vt:lpstr>
      <vt:lpstr>관광문화단지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2022-03-28T08:47:37Z</dcterms:modified>
</cp:coreProperties>
</file>